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\\efsrB2.Japan.gds.Panasonic.com\FZB2-0001$\share\【group_public】\》スタッフ\S01A事業企画センター\商品営業企画Ｇ\01_営業企画推進チーム\05_1ｅラーニング（創研ｅライブラリ）\06.(送付用)申込関連書類\1_（法人用）申込時送付書類\"/>
    </mc:Choice>
  </mc:AlternateContent>
  <xr:revisionPtr revIDLastSave="0" documentId="13_ncr:1_{4BCCEB1B-C4C6-4559-B77D-6A7BE4BFA35B}" xr6:coauthVersionLast="47" xr6:coauthVersionMax="47" xr10:uidLastSave="{00000000-0000-0000-0000-000000000000}"/>
  <workbookProtection workbookAlgorithmName="SHA-512" workbookHashValue="7MPsJaf9xnAaRfhhD0z6Mt2GGoS3MJb02kOmvm2S6q2Wm2/ymleDcf/De6J9/GC68NFBdP56tl+LADyWQx0dig==" workbookSaltValue="OliWQeiEvYoZvdMkIBYRTQ==" workbookSpinCount="100000" lockStructure="1"/>
  <bookViews>
    <workbookView xWindow="33285" yWindow="735" windowWidth="24615" windowHeight="14250" tabRatio="737" firstSheet="1" activeTab="1" xr2:uid="{00000000-000D-0000-FFFF-FFFF00000000}"/>
  </bookViews>
  <sheets>
    <sheet name="開講日マスタ" sheetId="6" state="hidden" r:id="rId1"/>
    <sheet name="記入の仕方" sheetId="7" r:id="rId2"/>
    <sheet name="申込書" sheetId="1" r:id="rId3"/>
    <sheet name="受講者登録表" sheetId="2" r:id="rId4"/>
    <sheet name="講座一覧" sheetId="3" r:id="rId5"/>
    <sheet name="営企csv" sheetId="12" state="hidden" r:id="rId6"/>
    <sheet name="D-CSV" sheetId="9" state="hidden" r:id="rId7"/>
    <sheet name="一括ユーザーアサイン登録" sheetId="8" state="hidden" r:id="rId8"/>
    <sheet name="ユーザー登録" sheetId="11" state="hidden" r:id="rId9"/>
  </sheets>
  <definedNames>
    <definedName name="_xlnm._FilterDatabase" localSheetId="4" hidden="1">講座一覧!$A$1:$C$119</definedName>
    <definedName name="fee">営企csv!$Q$40:$R$47</definedName>
    <definedName name="ID名簿">一括ユーザーアサイン登録!$L$18:$X$47</definedName>
    <definedName name="_xlnm.Print_Area" localSheetId="5">営企csv!$A$1:$P$14</definedName>
    <definedName name="_xlnm.Print_Area" localSheetId="4">講座一覧!$B$1:$F$120</definedName>
    <definedName name="_xlnm.Print_Area" localSheetId="3">受講者登録表!$A$2:$Q$44</definedName>
    <definedName name="_xlnm.Print_Area" localSheetId="2">申込書!$A$1:$J$60</definedName>
    <definedName name="user">ユーザー登録!$A$2:$C$31</definedName>
    <definedName name="カテゴリ">開講日マスタ!$L$17:$L$21</definedName>
    <definedName name="きっかけ">営企csv!$R$2:$S$11</definedName>
    <definedName name="コンプライアンス">講座一覧!$B$41:$B$61</definedName>
    <definedName name="スタンダード">講座一覧!$B$35:$B$40</definedName>
    <definedName name="メンタルヘルス">講座一覧!$B$62:$B$76</definedName>
    <definedName name="公的資格">講座一覧!$B$27:$B$34</definedName>
    <definedName name="受講者">一括ユーザーアサイン登録!$L$18:$L$47</definedName>
    <definedName name="住建系スキル">講座一覧!$B$13:$B$26</definedName>
    <definedName name="情報セキュリティ">講座一覧!$B$77:$B$101</definedName>
    <definedName name="申込">一括ユーザーアサイン登録!$K$2:$N$13</definedName>
    <definedName name="戦略・マネジメント">講座一覧!$B$102:$B$109</definedName>
    <definedName name="知的財産">講座一覧!$B$110:$B$119</definedName>
    <definedName name="電材系スキル">講座一覧!$B$2:$B$12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5" i="6" l="1"/>
  <c r="F3" i="6"/>
  <c r="G3" i="6" s="1"/>
  <c r="F4" i="6"/>
  <c r="G4" i="6" s="1"/>
  <c r="F5" i="6"/>
  <c r="G5" i="6" s="1"/>
  <c r="F6" i="6"/>
  <c r="G6" i="6" s="1"/>
  <c r="F7" i="6"/>
  <c r="G7" i="6" s="1"/>
  <c r="F8" i="6"/>
  <c r="G8" i="6" s="1"/>
  <c r="F9" i="6"/>
  <c r="G9" i="6" s="1"/>
  <c r="F10" i="6"/>
  <c r="G10" i="6" s="1"/>
  <c r="F11" i="6"/>
  <c r="G11" i="6" s="1"/>
  <c r="F12" i="6"/>
  <c r="G12" i="6" s="1"/>
  <c r="F13" i="6"/>
  <c r="G14" i="6" s="1"/>
  <c r="F14" i="6"/>
  <c r="G15" i="6" s="1"/>
  <c r="F15" i="6"/>
  <c r="G16" i="6" s="1"/>
  <c r="F16" i="6"/>
  <c r="G17" i="6" s="1"/>
  <c r="F17" i="6"/>
  <c r="G18" i="6" s="1"/>
  <c r="F18" i="6"/>
  <c r="G19" i="6" s="1"/>
  <c r="F19" i="6"/>
  <c r="G20" i="6" s="1"/>
  <c r="F20" i="6"/>
  <c r="G21" i="6" s="1"/>
  <c r="F21" i="6"/>
  <c r="G22" i="6" s="1"/>
  <c r="F22" i="6"/>
  <c r="G24" i="6" s="1"/>
  <c r="F23" i="6"/>
  <c r="F24" i="6"/>
  <c r="G25" i="6" s="1"/>
  <c r="F25" i="6"/>
  <c r="G26" i="6" s="1"/>
  <c r="F26" i="6"/>
  <c r="G27" i="6" s="1"/>
  <c r="F27" i="6"/>
  <c r="G28" i="6" s="1"/>
  <c r="F28" i="6"/>
  <c r="G29" i="6" s="1"/>
  <c r="F29" i="6"/>
  <c r="G30" i="6" s="1"/>
  <c r="F30" i="6"/>
  <c r="G31" i="6" s="1"/>
  <c r="F31" i="6"/>
  <c r="G32" i="6" s="1"/>
  <c r="F32" i="6"/>
  <c r="G33" i="6" s="1"/>
  <c r="F33" i="6"/>
  <c r="F34" i="6"/>
  <c r="C4" i="6"/>
  <c r="D4" i="6" s="1"/>
  <c r="C5" i="6"/>
  <c r="D5" i="6" s="1"/>
  <c r="C6" i="6"/>
  <c r="D6" i="6" s="1"/>
  <c r="C7" i="6"/>
  <c r="D7" i="6" s="1"/>
  <c r="C8" i="6"/>
  <c r="D8" i="6" s="1"/>
  <c r="C9" i="6"/>
  <c r="D9" i="6" s="1"/>
  <c r="C10" i="6"/>
  <c r="D10" i="6" s="1"/>
  <c r="C11" i="6"/>
  <c r="D11" i="6" s="1"/>
  <c r="C12" i="6"/>
  <c r="D12" i="6" s="1"/>
  <c r="C13" i="6"/>
  <c r="D13" i="6" s="1"/>
  <c r="C14" i="6"/>
  <c r="D14" i="6" s="1"/>
  <c r="C15" i="6"/>
  <c r="D15" i="6" s="1"/>
  <c r="C16" i="6"/>
  <c r="D16" i="6" s="1"/>
  <c r="C17" i="6"/>
  <c r="D17" i="6" s="1"/>
  <c r="C18" i="6"/>
  <c r="D18" i="6" s="1"/>
  <c r="C19" i="6"/>
  <c r="D19" i="6" s="1"/>
  <c r="C20" i="6"/>
  <c r="D20" i="6" s="1"/>
  <c r="C21" i="6"/>
  <c r="D21" i="6" s="1"/>
  <c r="C22" i="6"/>
  <c r="D22" i="6" s="1"/>
  <c r="C23" i="6"/>
  <c r="D23" i="6" s="1"/>
  <c r="C24" i="6"/>
  <c r="D24" i="6" s="1"/>
  <c r="C25" i="6"/>
  <c r="D25" i="6" s="1"/>
  <c r="C26" i="6"/>
  <c r="D26" i="6" s="1"/>
  <c r="C27" i="6"/>
  <c r="D27" i="6" s="1"/>
  <c r="C28" i="6"/>
  <c r="D28" i="6" s="1"/>
  <c r="C29" i="6"/>
  <c r="D29" i="6" s="1"/>
  <c r="C30" i="6"/>
  <c r="D30" i="6" s="1"/>
  <c r="C31" i="6"/>
  <c r="D31" i="6" s="1"/>
  <c r="C32" i="6"/>
  <c r="D32" i="6" s="1"/>
  <c r="C33" i="6"/>
  <c r="D33" i="6" s="1"/>
  <c r="C34" i="6"/>
  <c r="D34" i="6" s="1"/>
  <c r="C35" i="6"/>
  <c r="D35" i="6" s="1"/>
  <c r="C3" i="6"/>
  <c r="D3" i="6" s="1"/>
  <c r="B9" i="6"/>
  <c r="B8" i="6"/>
  <c r="B7" i="6"/>
  <c r="B6" i="6"/>
  <c r="B5" i="6"/>
  <c r="B4" i="6"/>
  <c r="B3" i="6"/>
  <c r="B23" i="6"/>
  <c r="M36" i="1"/>
  <c r="M37" i="1"/>
  <c r="M38" i="1"/>
  <c r="M39" i="1"/>
  <c r="Q39" i="1" s="1"/>
  <c r="M40" i="1"/>
  <c r="M41" i="1"/>
  <c r="Q41" i="1" s="1"/>
  <c r="M42" i="1"/>
  <c r="Q42" i="1" s="1"/>
  <c r="M43" i="1"/>
  <c r="Q43" i="1" s="1"/>
  <c r="M44" i="1"/>
  <c r="M45" i="1"/>
  <c r="M46" i="1"/>
  <c r="M35" i="1"/>
  <c r="N35" i="1" s="1"/>
  <c r="N40" i="1"/>
  <c r="O40" i="1" s="1"/>
  <c r="P40" i="1" s="1"/>
  <c r="L18" i="6"/>
  <c r="L17" i="6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L19" i="6"/>
  <c r="G13" i="6"/>
  <c r="B32" i="6"/>
  <c r="B31" i="6"/>
  <c r="B30" i="6"/>
  <c r="B29" i="6"/>
  <c r="B28" i="6"/>
  <c r="B27" i="6"/>
  <c r="B26" i="6"/>
  <c r="B25" i="6"/>
  <c r="B24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L13" i="1"/>
  <c r="M13" i="1" s="1"/>
  <c r="P8" i="9"/>
  <c r="E9" i="9"/>
  <c r="P13" i="9"/>
  <c r="J23" i="1"/>
  <c r="E15" i="2"/>
  <c r="E16" i="2"/>
  <c r="E17" i="2"/>
  <c r="E18" i="2"/>
  <c r="E19" i="2"/>
  <c r="E20" i="2"/>
  <c r="E21" i="2"/>
  <c r="E22" i="2"/>
  <c r="A24" i="2"/>
  <c r="B11" i="11"/>
  <c r="S24" i="2"/>
  <c r="A11" i="11"/>
  <c r="A25" i="2"/>
  <c r="B12" i="11"/>
  <c r="S25" i="2"/>
  <c r="A12" i="11"/>
  <c r="A26" i="2"/>
  <c r="B13" i="11"/>
  <c r="S26" i="2"/>
  <c r="A13" i="11"/>
  <c r="A27" i="2"/>
  <c r="B14" i="11"/>
  <c r="S27" i="2"/>
  <c r="A14" i="11"/>
  <c r="A28" i="2"/>
  <c r="B15" i="11"/>
  <c r="S28" i="2"/>
  <c r="A15" i="11"/>
  <c r="A29" i="2"/>
  <c r="B16" i="11"/>
  <c r="S29" i="2"/>
  <c r="A16" i="11"/>
  <c r="A30" i="2"/>
  <c r="B17" i="11"/>
  <c r="S30" i="2"/>
  <c r="A17" i="11"/>
  <c r="A31" i="2"/>
  <c r="B18" i="11"/>
  <c r="S31" i="2"/>
  <c r="A18" i="11"/>
  <c r="A32" i="2"/>
  <c r="B19" i="11"/>
  <c r="S32" i="2"/>
  <c r="A19" i="11"/>
  <c r="A33" i="2"/>
  <c r="B20" i="11"/>
  <c r="S33" i="2"/>
  <c r="A20" i="11"/>
  <c r="A34" i="2"/>
  <c r="B21" i="11"/>
  <c r="S34" i="2"/>
  <c r="A21" i="11"/>
  <c r="A35" i="2"/>
  <c r="B22" i="11"/>
  <c r="S35" i="2"/>
  <c r="A22" i="11"/>
  <c r="A36" i="2"/>
  <c r="B23" i="11"/>
  <c r="S36" i="2"/>
  <c r="A23" i="11"/>
  <c r="A37" i="2"/>
  <c r="B24" i="11"/>
  <c r="S37" i="2"/>
  <c r="A24" i="11"/>
  <c r="A38" i="2"/>
  <c r="B25" i="11"/>
  <c r="S38" i="2"/>
  <c r="A25" i="11"/>
  <c r="A39" i="2"/>
  <c r="B26" i="11"/>
  <c r="S39" i="2"/>
  <c r="A26" i="11"/>
  <c r="A40" i="2"/>
  <c r="B27" i="11"/>
  <c r="S40" i="2"/>
  <c r="A27" i="11"/>
  <c r="A41" i="2"/>
  <c r="B28" i="11"/>
  <c r="S41" i="2"/>
  <c r="A28" i="11"/>
  <c r="A42" i="2"/>
  <c r="B29" i="11"/>
  <c r="S42" i="2"/>
  <c r="A29" i="11"/>
  <c r="A43" i="2"/>
  <c r="B30" i="11"/>
  <c r="S43" i="2"/>
  <c r="A30" i="11"/>
  <c r="A44" i="2"/>
  <c r="B31" i="11"/>
  <c r="S44" i="2"/>
  <c r="A31" i="11"/>
  <c r="R41" i="1"/>
  <c r="R42" i="1"/>
  <c r="S41" i="1"/>
  <c r="R43" i="1"/>
  <c r="S42" i="1"/>
  <c r="R44" i="1"/>
  <c r="S43" i="1"/>
  <c r="R45" i="1"/>
  <c r="S44" i="1"/>
  <c r="R46" i="1"/>
  <c r="S45" i="1"/>
  <c r="S46" i="1"/>
  <c r="R36" i="1"/>
  <c r="R37" i="1"/>
  <c r="R38" i="1"/>
  <c r="R39" i="1"/>
  <c r="R40" i="1"/>
  <c r="S40" i="1" s="1"/>
  <c r="S39" i="1"/>
  <c r="R35" i="1"/>
  <c r="L11" i="2"/>
  <c r="M11" i="2"/>
  <c r="T17" i="8"/>
  <c r="N11" i="2"/>
  <c r="U17" i="8"/>
  <c r="O11" i="2"/>
  <c r="V17" i="8"/>
  <c r="P11" i="2"/>
  <c r="W17" i="8"/>
  <c r="Q11" i="2"/>
  <c r="X17" i="8"/>
  <c r="N15" i="9"/>
  <c r="M15" i="9"/>
  <c r="L15" i="9"/>
  <c r="K15" i="9"/>
  <c r="J15" i="9"/>
  <c r="F11" i="2"/>
  <c r="D15" i="9" s="1"/>
  <c r="G11" i="2"/>
  <c r="E15" i="9" s="1"/>
  <c r="H11" i="2"/>
  <c r="F15" i="9" s="1"/>
  <c r="I11" i="2"/>
  <c r="G15" i="9" s="1"/>
  <c r="J11" i="2"/>
  <c r="H15" i="9" s="1"/>
  <c r="K11" i="2"/>
  <c r="I15" i="9" s="1"/>
  <c r="O15" i="9"/>
  <c r="Y17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K9" i="9"/>
  <c r="L9" i="9"/>
  <c r="A13" i="9"/>
  <c r="Q13" i="9"/>
  <c r="T39" i="2"/>
  <c r="U39" i="2"/>
  <c r="V39" i="2"/>
  <c r="W39" i="2"/>
  <c r="X39" i="2"/>
  <c r="Z39" i="2"/>
  <c r="P42" i="9"/>
  <c r="T26" i="2"/>
  <c r="U26" i="2"/>
  <c r="V26" i="2"/>
  <c r="W26" i="2"/>
  <c r="X26" i="2"/>
  <c r="Z26" i="2"/>
  <c r="P29" i="9"/>
  <c r="T27" i="2"/>
  <c r="U27" i="2"/>
  <c r="V27" i="2"/>
  <c r="W27" i="2"/>
  <c r="X27" i="2"/>
  <c r="Z27" i="2"/>
  <c r="P30" i="9"/>
  <c r="T28" i="2"/>
  <c r="U28" i="2"/>
  <c r="V28" i="2"/>
  <c r="W28" i="2"/>
  <c r="X28" i="2"/>
  <c r="Z28" i="2"/>
  <c r="P31" i="9"/>
  <c r="T29" i="2"/>
  <c r="U29" i="2"/>
  <c r="V29" i="2"/>
  <c r="W29" i="2"/>
  <c r="X29" i="2"/>
  <c r="Z29" i="2"/>
  <c r="P32" i="9"/>
  <c r="T30" i="2"/>
  <c r="U30" i="2"/>
  <c r="V30" i="2"/>
  <c r="W30" i="2"/>
  <c r="X30" i="2"/>
  <c r="Z30" i="2"/>
  <c r="P33" i="9"/>
  <c r="T31" i="2"/>
  <c r="U31" i="2"/>
  <c r="V31" i="2"/>
  <c r="W31" i="2"/>
  <c r="X31" i="2"/>
  <c r="Z31" i="2"/>
  <c r="P34" i="9"/>
  <c r="T32" i="2"/>
  <c r="U32" i="2"/>
  <c r="V32" i="2"/>
  <c r="W32" i="2"/>
  <c r="X32" i="2"/>
  <c r="Z32" i="2"/>
  <c r="P35" i="9"/>
  <c r="T33" i="2"/>
  <c r="U33" i="2"/>
  <c r="V33" i="2"/>
  <c r="W33" i="2"/>
  <c r="X33" i="2"/>
  <c r="Z33" i="2"/>
  <c r="P36" i="9"/>
  <c r="T34" i="2"/>
  <c r="U34" i="2"/>
  <c r="V34" i="2"/>
  <c r="W34" i="2"/>
  <c r="X34" i="2"/>
  <c r="Z34" i="2"/>
  <c r="P37" i="9"/>
  <c r="T35" i="2"/>
  <c r="U35" i="2"/>
  <c r="V35" i="2"/>
  <c r="W35" i="2"/>
  <c r="X35" i="2"/>
  <c r="Z35" i="2"/>
  <c r="P38" i="9"/>
  <c r="T36" i="2"/>
  <c r="U36" i="2"/>
  <c r="V36" i="2"/>
  <c r="W36" i="2"/>
  <c r="X36" i="2"/>
  <c r="Z36" i="2"/>
  <c r="P39" i="9"/>
  <c r="T37" i="2"/>
  <c r="U37" i="2"/>
  <c r="V37" i="2"/>
  <c r="W37" i="2"/>
  <c r="X37" i="2"/>
  <c r="Z37" i="2"/>
  <c r="P40" i="9"/>
  <c r="T38" i="2"/>
  <c r="U38" i="2"/>
  <c r="V38" i="2"/>
  <c r="W38" i="2"/>
  <c r="X38" i="2"/>
  <c r="Z38" i="2"/>
  <c r="P41" i="9"/>
  <c r="T40" i="2"/>
  <c r="U40" i="2"/>
  <c r="V40" i="2"/>
  <c r="W40" i="2"/>
  <c r="X40" i="2"/>
  <c r="Z40" i="2"/>
  <c r="P43" i="9"/>
  <c r="T41" i="2"/>
  <c r="U41" i="2"/>
  <c r="V41" i="2"/>
  <c r="W41" i="2"/>
  <c r="X41" i="2"/>
  <c r="Z41" i="2"/>
  <c r="P44" i="9"/>
  <c r="T42" i="2"/>
  <c r="U42" i="2"/>
  <c r="V42" i="2"/>
  <c r="W42" i="2"/>
  <c r="X42" i="2"/>
  <c r="Z42" i="2"/>
  <c r="P45" i="9"/>
  <c r="T43" i="2"/>
  <c r="U43" i="2"/>
  <c r="V43" i="2"/>
  <c r="W43" i="2"/>
  <c r="X43" i="2"/>
  <c r="Z43" i="2"/>
  <c r="P46" i="9"/>
  <c r="T44" i="2"/>
  <c r="U44" i="2"/>
  <c r="V44" i="2"/>
  <c r="W44" i="2"/>
  <c r="X44" i="2"/>
  <c r="Z44" i="2"/>
  <c r="P47" i="9"/>
  <c r="T25" i="2"/>
  <c r="U25" i="2"/>
  <c r="V25" i="2"/>
  <c r="W25" i="2"/>
  <c r="X25" i="2"/>
  <c r="Z25" i="2"/>
  <c r="P28" i="9"/>
  <c r="W16" i="2"/>
  <c r="W17" i="2"/>
  <c r="W18" i="2"/>
  <c r="W19" i="2"/>
  <c r="W20" i="2"/>
  <c r="W21" i="2"/>
  <c r="W22" i="2"/>
  <c r="W23" i="2"/>
  <c r="W24" i="2"/>
  <c r="W1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O1" i="6"/>
  <c r="A2" i="6" s="1"/>
  <c r="A16" i="2"/>
  <c r="A17" i="2"/>
  <c r="C4" i="11"/>
  <c r="A18" i="2"/>
  <c r="C5" i="11"/>
  <c r="A19" i="2"/>
  <c r="C6" i="11"/>
  <c r="A20" i="2"/>
  <c r="B7" i="11"/>
  <c r="A21" i="2"/>
  <c r="B8" i="11"/>
  <c r="A22" i="2"/>
  <c r="C9" i="11"/>
  <c r="A23" i="2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7" i="11"/>
  <c r="C28" i="11"/>
  <c r="C29" i="11"/>
  <c r="C30" i="11"/>
  <c r="C31" i="11"/>
  <c r="A15" i="2"/>
  <c r="B2" i="11"/>
  <c r="C8" i="11"/>
  <c r="B6" i="11"/>
  <c r="B9" i="11"/>
  <c r="B4" i="11"/>
  <c r="C7" i="11"/>
  <c r="C26" i="11"/>
  <c r="B5" i="11"/>
  <c r="A11" i="2"/>
  <c r="B3" i="11"/>
  <c r="C3" i="11"/>
  <c r="B10" i="11"/>
  <c r="C2" i="11"/>
  <c r="N23" i="1"/>
  <c r="I2" i="12"/>
  <c r="N2" i="12"/>
  <c r="M2" i="12"/>
  <c r="L2" i="12"/>
  <c r="K2" i="12"/>
  <c r="J2" i="12"/>
  <c r="G2" i="12"/>
  <c r="H2" i="12"/>
  <c r="F2" i="12"/>
  <c r="E2" i="12"/>
  <c r="I31" i="1"/>
  <c r="L13" i="12"/>
  <c r="E13" i="12"/>
  <c r="X16" i="2"/>
  <c r="X17" i="2"/>
  <c r="X18" i="2"/>
  <c r="X19" i="2"/>
  <c r="X20" i="2"/>
  <c r="X21" i="2"/>
  <c r="X22" i="2"/>
  <c r="X23" i="2"/>
  <c r="X24" i="2"/>
  <c r="F25" i="1"/>
  <c r="X15" i="2"/>
  <c r="X14" i="2"/>
  <c r="X12" i="2"/>
  <c r="B6" i="12"/>
  <c r="O27" i="1"/>
  <c r="N27" i="1"/>
  <c r="L27" i="1"/>
  <c r="W14" i="2"/>
  <c r="Q27" i="1"/>
  <c r="P27" i="1"/>
  <c r="W12" i="2"/>
  <c r="E7" i="2"/>
  <c r="B5" i="12"/>
  <c r="R27" i="1"/>
  <c r="S16" i="2"/>
  <c r="Y16" i="2"/>
  <c r="S17" i="2"/>
  <c r="S18" i="2"/>
  <c r="S19" i="2"/>
  <c r="S20" i="2"/>
  <c r="Y20" i="2"/>
  <c r="S21" i="2"/>
  <c r="Y21" i="2"/>
  <c r="S22" i="2"/>
  <c r="Y22" i="2"/>
  <c r="S23" i="2"/>
  <c r="Y23" i="2"/>
  <c r="S15" i="2"/>
  <c r="Y15" i="2"/>
  <c r="U19" i="2"/>
  <c r="Y19" i="2"/>
  <c r="U18" i="2"/>
  <c r="Y18" i="2"/>
  <c r="U23" i="2"/>
  <c r="U22" i="2"/>
  <c r="U15" i="2"/>
  <c r="U21" i="2"/>
  <c r="U17" i="2"/>
  <c r="U24" i="2"/>
  <c r="U16" i="2"/>
  <c r="U20" i="2"/>
  <c r="V18" i="2"/>
  <c r="V19" i="2"/>
  <c r="T22" i="2"/>
  <c r="V22" i="2"/>
  <c r="T15" i="2"/>
  <c r="V15" i="2"/>
  <c r="T21" i="2"/>
  <c r="V21" i="2"/>
  <c r="T17" i="2"/>
  <c r="V17" i="2"/>
  <c r="T24" i="2"/>
  <c r="V24" i="2"/>
  <c r="T20" i="2"/>
  <c r="V20" i="2"/>
  <c r="K19" i="8"/>
  <c r="V16" i="2"/>
  <c r="T23" i="2"/>
  <c r="V23" i="2"/>
  <c r="K28" i="8"/>
  <c r="K36" i="8"/>
  <c r="K40" i="8"/>
  <c r="K24" i="8"/>
  <c r="K44" i="8"/>
  <c r="K18" i="8"/>
  <c r="K22" i="8"/>
  <c r="T19" i="2"/>
  <c r="K33" i="8"/>
  <c r="K29" i="8"/>
  <c r="K25" i="8"/>
  <c r="K30" i="8"/>
  <c r="K37" i="8"/>
  <c r="K41" i="8"/>
  <c r="K45" i="8"/>
  <c r="K32" i="8"/>
  <c r="K20" i="8"/>
  <c r="K26" i="8"/>
  <c r="K34" i="8"/>
  <c r="K38" i="8"/>
  <c r="K42" i="8"/>
  <c r="K46" i="8"/>
  <c r="K31" i="8"/>
  <c r="K23" i="8"/>
  <c r="K27" i="8"/>
  <c r="K35" i="8"/>
  <c r="K39" i="8"/>
  <c r="K43" i="8"/>
  <c r="K47" i="8"/>
  <c r="K21" i="8"/>
  <c r="T18" i="2"/>
  <c r="T16" i="2"/>
  <c r="Z16" i="2"/>
  <c r="P19" i="9"/>
  <c r="S14" i="2"/>
  <c r="L19" i="8"/>
  <c r="L20" i="8"/>
  <c r="L21" i="8"/>
  <c r="L22" i="8"/>
  <c r="L23" i="8"/>
  <c r="L24" i="8"/>
  <c r="L25" i="8"/>
  <c r="L26" i="8"/>
  <c r="L27" i="8"/>
  <c r="I27" i="8"/>
  <c r="L28" i="8"/>
  <c r="I28" i="8"/>
  <c r="L29" i="8"/>
  <c r="I29" i="8"/>
  <c r="L30" i="8"/>
  <c r="I30" i="8"/>
  <c r="L31" i="8"/>
  <c r="I31" i="8"/>
  <c r="L32" i="8"/>
  <c r="I32" i="8"/>
  <c r="L33" i="8"/>
  <c r="I33" i="8"/>
  <c r="L34" i="8"/>
  <c r="I34" i="8"/>
  <c r="L35" i="8"/>
  <c r="I35" i="8"/>
  <c r="L36" i="8"/>
  <c r="I36" i="8"/>
  <c r="L37" i="8"/>
  <c r="I37" i="8"/>
  <c r="L38" i="8"/>
  <c r="I38" i="8"/>
  <c r="L39" i="8"/>
  <c r="I39" i="8"/>
  <c r="L40" i="8"/>
  <c r="I40" i="8"/>
  <c r="L41" i="8"/>
  <c r="I41" i="8"/>
  <c r="L42" i="8"/>
  <c r="I42" i="8"/>
  <c r="L43" i="8"/>
  <c r="I43" i="8"/>
  <c r="L44" i="8"/>
  <c r="I44" i="8"/>
  <c r="L45" i="8"/>
  <c r="I45" i="8"/>
  <c r="L46" i="8"/>
  <c r="I46" i="8"/>
  <c r="L47" i="8"/>
  <c r="I47" i="8"/>
  <c r="L18" i="8"/>
  <c r="Y14" i="2"/>
  <c r="Y12" i="2"/>
  <c r="Z24" i="2"/>
  <c r="P27" i="9"/>
  <c r="Z19" i="2"/>
  <c r="P22" i="9"/>
  <c r="Z18" i="2"/>
  <c r="P21" i="9"/>
  <c r="Z17" i="2"/>
  <c r="P20" i="9"/>
  <c r="Z15" i="2"/>
  <c r="P18" i="9"/>
  <c r="Z20" i="2"/>
  <c r="P23" i="9"/>
  <c r="Z21" i="2"/>
  <c r="P24" i="9"/>
  <c r="Z22" i="2"/>
  <c r="P25" i="9"/>
  <c r="Z23" i="2"/>
  <c r="P26" i="9"/>
  <c r="U14" i="2"/>
  <c r="U12" i="2"/>
  <c r="V14" i="2"/>
  <c r="V12" i="2"/>
  <c r="E6" i="2"/>
  <c r="K48" i="8"/>
  <c r="T14" i="2"/>
  <c r="X47" i="8"/>
  <c r="W47" i="8"/>
  <c r="V47" i="8"/>
  <c r="U47" i="8"/>
  <c r="T47" i="8"/>
  <c r="S47" i="8"/>
  <c r="R47" i="8"/>
  <c r="Q47" i="8"/>
  <c r="P47" i="8"/>
  <c r="O47" i="8"/>
  <c r="N47" i="8"/>
  <c r="X46" i="8"/>
  <c r="W46" i="8"/>
  <c r="V46" i="8"/>
  <c r="U46" i="8"/>
  <c r="T46" i="8"/>
  <c r="S46" i="8"/>
  <c r="R46" i="8"/>
  <c r="Q46" i="8"/>
  <c r="P46" i="8"/>
  <c r="O46" i="8"/>
  <c r="N46" i="8"/>
  <c r="X45" i="8"/>
  <c r="W45" i="8"/>
  <c r="V45" i="8"/>
  <c r="U45" i="8"/>
  <c r="T45" i="8"/>
  <c r="S45" i="8"/>
  <c r="R45" i="8"/>
  <c r="Q45" i="8"/>
  <c r="P45" i="8"/>
  <c r="O45" i="8"/>
  <c r="N45" i="8"/>
  <c r="X44" i="8"/>
  <c r="W44" i="8"/>
  <c r="V44" i="8"/>
  <c r="U44" i="8"/>
  <c r="T44" i="8"/>
  <c r="S44" i="8"/>
  <c r="R44" i="8"/>
  <c r="Q44" i="8"/>
  <c r="P44" i="8"/>
  <c r="O44" i="8"/>
  <c r="N44" i="8"/>
  <c r="X43" i="8"/>
  <c r="W43" i="8"/>
  <c r="V43" i="8"/>
  <c r="U43" i="8"/>
  <c r="T43" i="8"/>
  <c r="S43" i="8"/>
  <c r="R43" i="8"/>
  <c r="Q43" i="8"/>
  <c r="P43" i="8"/>
  <c r="O43" i="8"/>
  <c r="N43" i="8"/>
  <c r="X42" i="8"/>
  <c r="W42" i="8"/>
  <c r="V42" i="8"/>
  <c r="U42" i="8"/>
  <c r="T42" i="8"/>
  <c r="S42" i="8"/>
  <c r="R42" i="8"/>
  <c r="Q42" i="8"/>
  <c r="P42" i="8"/>
  <c r="O42" i="8"/>
  <c r="N42" i="8"/>
  <c r="X41" i="8"/>
  <c r="W41" i="8"/>
  <c r="V41" i="8"/>
  <c r="U41" i="8"/>
  <c r="T41" i="8"/>
  <c r="S41" i="8"/>
  <c r="R41" i="8"/>
  <c r="Q41" i="8"/>
  <c r="P41" i="8"/>
  <c r="O41" i="8"/>
  <c r="N41" i="8"/>
  <c r="X40" i="8"/>
  <c r="W40" i="8"/>
  <c r="V40" i="8"/>
  <c r="U40" i="8"/>
  <c r="T40" i="8"/>
  <c r="S40" i="8"/>
  <c r="R40" i="8"/>
  <c r="Q40" i="8"/>
  <c r="P40" i="8"/>
  <c r="O40" i="8"/>
  <c r="N40" i="8"/>
  <c r="X39" i="8"/>
  <c r="W39" i="8"/>
  <c r="V39" i="8"/>
  <c r="U39" i="8"/>
  <c r="T39" i="8"/>
  <c r="S39" i="8"/>
  <c r="R39" i="8"/>
  <c r="Q39" i="8"/>
  <c r="P39" i="8"/>
  <c r="O39" i="8"/>
  <c r="N39" i="8"/>
  <c r="X38" i="8"/>
  <c r="W38" i="8"/>
  <c r="V38" i="8"/>
  <c r="U38" i="8"/>
  <c r="T38" i="8"/>
  <c r="S38" i="8"/>
  <c r="R38" i="8"/>
  <c r="Q38" i="8"/>
  <c r="P38" i="8"/>
  <c r="O38" i="8"/>
  <c r="N38" i="8"/>
  <c r="X37" i="8"/>
  <c r="W37" i="8"/>
  <c r="V37" i="8"/>
  <c r="U37" i="8"/>
  <c r="T37" i="8"/>
  <c r="S37" i="8"/>
  <c r="R37" i="8"/>
  <c r="Q37" i="8"/>
  <c r="P37" i="8"/>
  <c r="O37" i="8"/>
  <c r="N37" i="8"/>
  <c r="X36" i="8"/>
  <c r="W36" i="8"/>
  <c r="V36" i="8"/>
  <c r="U36" i="8"/>
  <c r="T36" i="8"/>
  <c r="S36" i="8"/>
  <c r="R36" i="8"/>
  <c r="Q36" i="8"/>
  <c r="P36" i="8"/>
  <c r="O36" i="8"/>
  <c r="N36" i="8"/>
  <c r="X35" i="8"/>
  <c r="W35" i="8"/>
  <c r="V35" i="8"/>
  <c r="U35" i="8"/>
  <c r="T35" i="8"/>
  <c r="S35" i="8"/>
  <c r="R35" i="8"/>
  <c r="Q35" i="8"/>
  <c r="P35" i="8"/>
  <c r="O35" i="8"/>
  <c r="N35" i="8"/>
  <c r="X34" i="8"/>
  <c r="W34" i="8"/>
  <c r="V34" i="8"/>
  <c r="U34" i="8"/>
  <c r="T34" i="8"/>
  <c r="S34" i="8"/>
  <c r="R34" i="8"/>
  <c r="Q34" i="8"/>
  <c r="P34" i="8"/>
  <c r="O34" i="8"/>
  <c r="N34" i="8"/>
  <c r="X33" i="8"/>
  <c r="W33" i="8"/>
  <c r="V33" i="8"/>
  <c r="U33" i="8"/>
  <c r="T33" i="8"/>
  <c r="S33" i="8"/>
  <c r="R33" i="8"/>
  <c r="Q33" i="8"/>
  <c r="P33" i="8"/>
  <c r="O33" i="8"/>
  <c r="N33" i="8"/>
  <c r="X32" i="8"/>
  <c r="W32" i="8"/>
  <c r="V32" i="8"/>
  <c r="U32" i="8"/>
  <c r="T32" i="8"/>
  <c r="S32" i="8"/>
  <c r="R32" i="8"/>
  <c r="Q32" i="8"/>
  <c r="P32" i="8"/>
  <c r="O32" i="8"/>
  <c r="N32" i="8"/>
  <c r="X31" i="8"/>
  <c r="W31" i="8"/>
  <c r="V31" i="8"/>
  <c r="U31" i="8"/>
  <c r="T31" i="8"/>
  <c r="S31" i="8"/>
  <c r="R31" i="8"/>
  <c r="Q31" i="8"/>
  <c r="P31" i="8"/>
  <c r="O31" i="8"/>
  <c r="N31" i="8"/>
  <c r="X30" i="8"/>
  <c r="W30" i="8"/>
  <c r="V30" i="8"/>
  <c r="U30" i="8"/>
  <c r="T30" i="8"/>
  <c r="S30" i="8"/>
  <c r="R30" i="8"/>
  <c r="Q30" i="8"/>
  <c r="P30" i="8"/>
  <c r="O30" i="8"/>
  <c r="N30" i="8"/>
  <c r="X29" i="8"/>
  <c r="W29" i="8"/>
  <c r="V29" i="8"/>
  <c r="U29" i="8"/>
  <c r="T29" i="8"/>
  <c r="S29" i="8"/>
  <c r="R29" i="8"/>
  <c r="Q29" i="8"/>
  <c r="P29" i="8"/>
  <c r="O29" i="8"/>
  <c r="N29" i="8"/>
  <c r="X28" i="8"/>
  <c r="W28" i="8"/>
  <c r="V28" i="8"/>
  <c r="U28" i="8"/>
  <c r="T28" i="8"/>
  <c r="S28" i="8"/>
  <c r="R28" i="8"/>
  <c r="Q28" i="8"/>
  <c r="P28" i="8"/>
  <c r="O28" i="8"/>
  <c r="N28" i="8"/>
  <c r="X27" i="8"/>
  <c r="W27" i="8"/>
  <c r="V27" i="8"/>
  <c r="U27" i="8"/>
  <c r="T27" i="8"/>
  <c r="S27" i="8"/>
  <c r="R27" i="8"/>
  <c r="Q27" i="8"/>
  <c r="P27" i="8"/>
  <c r="O27" i="8"/>
  <c r="N27" i="8"/>
  <c r="X26" i="8"/>
  <c r="W26" i="8"/>
  <c r="V26" i="8"/>
  <c r="U26" i="8"/>
  <c r="T26" i="8"/>
  <c r="S26" i="8"/>
  <c r="R26" i="8"/>
  <c r="Q26" i="8"/>
  <c r="P26" i="8"/>
  <c r="O26" i="8"/>
  <c r="N26" i="8"/>
  <c r="X25" i="8"/>
  <c r="W25" i="8"/>
  <c r="V25" i="8"/>
  <c r="U25" i="8"/>
  <c r="T25" i="8"/>
  <c r="S25" i="8"/>
  <c r="R25" i="8"/>
  <c r="Q25" i="8"/>
  <c r="P25" i="8"/>
  <c r="O25" i="8"/>
  <c r="N25" i="8"/>
  <c r="X24" i="8"/>
  <c r="W24" i="8"/>
  <c r="V24" i="8"/>
  <c r="U24" i="8"/>
  <c r="T24" i="8"/>
  <c r="S24" i="8"/>
  <c r="R24" i="8"/>
  <c r="Q24" i="8"/>
  <c r="P24" i="8"/>
  <c r="O24" i="8"/>
  <c r="N24" i="8"/>
  <c r="X23" i="8"/>
  <c r="W23" i="8"/>
  <c r="V23" i="8"/>
  <c r="U23" i="8"/>
  <c r="T23" i="8"/>
  <c r="S23" i="8"/>
  <c r="R23" i="8"/>
  <c r="Q23" i="8"/>
  <c r="P23" i="8"/>
  <c r="O23" i="8"/>
  <c r="N23" i="8"/>
  <c r="X22" i="8"/>
  <c r="W22" i="8"/>
  <c r="V22" i="8"/>
  <c r="U22" i="8"/>
  <c r="T22" i="8"/>
  <c r="S22" i="8"/>
  <c r="R22" i="8"/>
  <c r="Q22" i="8"/>
  <c r="P22" i="8"/>
  <c r="O22" i="8"/>
  <c r="N22" i="8"/>
  <c r="X21" i="8"/>
  <c r="W21" i="8"/>
  <c r="V21" i="8"/>
  <c r="U21" i="8"/>
  <c r="T21" i="8"/>
  <c r="S21" i="8"/>
  <c r="R21" i="8"/>
  <c r="Q21" i="8"/>
  <c r="P21" i="8"/>
  <c r="O21" i="8"/>
  <c r="N21" i="8"/>
  <c r="X20" i="8"/>
  <c r="W20" i="8"/>
  <c r="V20" i="8"/>
  <c r="U20" i="8"/>
  <c r="T20" i="8"/>
  <c r="S20" i="8"/>
  <c r="R20" i="8"/>
  <c r="Q20" i="8"/>
  <c r="P20" i="8"/>
  <c r="O20" i="8"/>
  <c r="N20" i="8"/>
  <c r="X19" i="8"/>
  <c r="W19" i="8"/>
  <c r="V19" i="8"/>
  <c r="U19" i="8"/>
  <c r="T19" i="8"/>
  <c r="S19" i="8"/>
  <c r="R19" i="8"/>
  <c r="Q19" i="8"/>
  <c r="P19" i="8"/>
  <c r="O19" i="8"/>
  <c r="N19" i="8"/>
  <c r="X18" i="8"/>
  <c r="W18" i="8"/>
  <c r="V18" i="8"/>
  <c r="U18" i="8"/>
  <c r="T18" i="8"/>
  <c r="S18" i="8"/>
  <c r="R18" i="8"/>
  <c r="Q18" i="8"/>
  <c r="P18" i="8"/>
  <c r="O18" i="8"/>
  <c r="N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18" i="8"/>
  <c r="P17" i="9"/>
  <c r="Z14" i="2"/>
  <c r="Z12" i="2"/>
  <c r="J18" i="8"/>
  <c r="T12" i="2"/>
  <c r="E5" i="2"/>
  <c r="J44" i="8"/>
  <c r="J40" i="8"/>
  <c r="Q49" i="8"/>
  <c r="N49" i="8"/>
  <c r="R49" i="8"/>
  <c r="J36" i="8"/>
  <c r="J32" i="8"/>
  <c r="J28" i="8"/>
  <c r="J24" i="8"/>
  <c r="J20" i="8"/>
  <c r="O49" i="8"/>
  <c r="S49" i="8"/>
  <c r="P49" i="8"/>
  <c r="M48" i="8"/>
  <c r="M49" i="8"/>
  <c r="T49" i="8"/>
  <c r="U49" i="8"/>
  <c r="W49" i="8"/>
  <c r="V49" i="8"/>
  <c r="X49" i="8"/>
  <c r="J43" i="8"/>
  <c r="J31" i="8"/>
  <c r="J27" i="8"/>
  <c r="J23" i="8"/>
  <c r="J19" i="8"/>
  <c r="J47" i="8"/>
  <c r="J35" i="8"/>
  <c r="J46" i="8"/>
  <c r="J42" i="8"/>
  <c r="J38" i="8"/>
  <c r="J34" i="8"/>
  <c r="J30" i="8"/>
  <c r="J26" i="8"/>
  <c r="J22" i="8"/>
  <c r="J39" i="8"/>
  <c r="J45" i="8"/>
  <c r="J41" i="8"/>
  <c r="J37" i="8"/>
  <c r="J33" i="8"/>
  <c r="J29" i="8"/>
  <c r="J25" i="8"/>
  <c r="J21" i="8"/>
  <c r="N48" i="8"/>
  <c r="O48" i="8"/>
  <c r="W48" i="8"/>
  <c r="P48" i="8"/>
  <c r="T48" i="8"/>
  <c r="R48" i="8"/>
  <c r="V48" i="8"/>
  <c r="S48" i="8"/>
  <c r="Q48" i="8"/>
  <c r="U48" i="8"/>
  <c r="X48" i="8"/>
  <c r="Q23" i="1"/>
  <c r="P23" i="1"/>
  <c r="J15" i="1"/>
  <c r="Q24" i="1"/>
  <c r="T11" i="2"/>
  <c r="E4" i="2"/>
  <c r="J48" i="8"/>
  <c r="D13" i="2"/>
  <c r="C13" i="2"/>
  <c r="L21" i="6"/>
  <c r="L20" i="6"/>
  <c r="B3" i="12"/>
  <c r="D12" i="2"/>
  <c r="P24" i="1"/>
  <c r="E1" i="9"/>
  <c r="B1" i="9"/>
  <c r="M13" i="9"/>
  <c r="A19" i="9"/>
  <c r="B19" i="9"/>
  <c r="C19" i="9"/>
  <c r="A20" i="9"/>
  <c r="B20" i="9"/>
  <c r="C20" i="9"/>
  <c r="A21" i="9"/>
  <c r="B21" i="9"/>
  <c r="C21" i="9"/>
  <c r="A22" i="9"/>
  <c r="B22" i="9"/>
  <c r="C22" i="9"/>
  <c r="A23" i="9"/>
  <c r="B23" i="9"/>
  <c r="C23" i="9"/>
  <c r="A24" i="9"/>
  <c r="B24" i="9"/>
  <c r="C24" i="9"/>
  <c r="A25" i="9"/>
  <c r="B25" i="9"/>
  <c r="C25" i="9"/>
  <c r="A26" i="9"/>
  <c r="B26" i="9"/>
  <c r="C26" i="9"/>
  <c r="A27" i="9"/>
  <c r="B27" i="9"/>
  <c r="C27" i="9"/>
  <c r="A28" i="9"/>
  <c r="B28" i="9"/>
  <c r="C28" i="9"/>
  <c r="A29" i="9"/>
  <c r="B29" i="9"/>
  <c r="C29" i="9"/>
  <c r="A30" i="9"/>
  <c r="B30" i="9"/>
  <c r="C30" i="9"/>
  <c r="A31" i="9"/>
  <c r="B31" i="9"/>
  <c r="C31" i="9"/>
  <c r="A32" i="9"/>
  <c r="B32" i="9"/>
  <c r="C32" i="9"/>
  <c r="A33" i="9"/>
  <c r="B33" i="9"/>
  <c r="C33" i="9"/>
  <c r="A34" i="9"/>
  <c r="B34" i="9"/>
  <c r="C34" i="9"/>
  <c r="A35" i="9"/>
  <c r="B35" i="9"/>
  <c r="C35" i="9"/>
  <c r="A36" i="9"/>
  <c r="B36" i="9"/>
  <c r="C36" i="9"/>
  <c r="A37" i="9"/>
  <c r="B37" i="9"/>
  <c r="C37" i="9"/>
  <c r="A38" i="9"/>
  <c r="B38" i="9"/>
  <c r="C38" i="9"/>
  <c r="A39" i="9"/>
  <c r="B39" i="9"/>
  <c r="C39" i="9"/>
  <c r="A40" i="9"/>
  <c r="B40" i="9"/>
  <c r="C40" i="9"/>
  <c r="A41" i="9"/>
  <c r="B41" i="9"/>
  <c r="C41" i="9"/>
  <c r="A42" i="9"/>
  <c r="B42" i="9"/>
  <c r="C42" i="9"/>
  <c r="A43" i="9"/>
  <c r="B43" i="9"/>
  <c r="C43" i="9"/>
  <c r="A44" i="9"/>
  <c r="B44" i="9"/>
  <c r="C44" i="9"/>
  <c r="A45" i="9"/>
  <c r="B45" i="9"/>
  <c r="C45" i="9"/>
  <c r="A46" i="9"/>
  <c r="B46" i="9"/>
  <c r="C46" i="9"/>
  <c r="A47" i="9"/>
  <c r="B47" i="9"/>
  <c r="C47" i="9"/>
  <c r="A18" i="9"/>
  <c r="B18" i="9"/>
  <c r="C18" i="9"/>
  <c r="S13" i="9"/>
  <c r="R13" i="9"/>
  <c r="O47" i="9"/>
  <c r="N47" i="9"/>
  <c r="M47" i="9"/>
  <c r="L47" i="9"/>
  <c r="K47" i="9"/>
  <c r="J47" i="9"/>
  <c r="I47" i="9"/>
  <c r="H47" i="9"/>
  <c r="G47" i="9"/>
  <c r="F47" i="9"/>
  <c r="E47" i="9"/>
  <c r="D47" i="9"/>
  <c r="O46" i="9"/>
  <c r="N46" i="9"/>
  <c r="M46" i="9"/>
  <c r="L46" i="9"/>
  <c r="K46" i="9"/>
  <c r="J46" i="9"/>
  <c r="I46" i="9"/>
  <c r="H46" i="9"/>
  <c r="G46" i="9"/>
  <c r="F46" i="9"/>
  <c r="E46" i="9"/>
  <c r="D46" i="9"/>
  <c r="O45" i="9"/>
  <c r="N45" i="9"/>
  <c r="M45" i="9"/>
  <c r="L45" i="9"/>
  <c r="K45" i="9"/>
  <c r="J45" i="9"/>
  <c r="I45" i="9"/>
  <c r="H45" i="9"/>
  <c r="G45" i="9"/>
  <c r="F45" i="9"/>
  <c r="E45" i="9"/>
  <c r="D45" i="9"/>
  <c r="O44" i="9"/>
  <c r="N44" i="9"/>
  <c r="M44" i="9"/>
  <c r="L44" i="9"/>
  <c r="K44" i="9"/>
  <c r="J44" i="9"/>
  <c r="I44" i="9"/>
  <c r="H44" i="9"/>
  <c r="G44" i="9"/>
  <c r="F44" i="9"/>
  <c r="E44" i="9"/>
  <c r="D44" i="9"/>
  <c r="O43" i="9"/>
  <c r="N43" i="9"/>
  <c r="M43" i="9"/>
  <c r="L43" i="9"/>
  <c r="K43" i="9"/>
  <c r="J43" i="9"/>
  <c r="I43" i="9"/>
  <c r="H43" i="9"/>
  <c r="G43" i="9"/>
  <c r="F43" i="9"/>
  <c r="E43" i="9"/>
  <c r="D43" i="9"/>
  <c r="O42" i="9"/>
  <c r="N42" i="9"/>
  <c r="M42" i="9"/>
  <c r="L42" i="9"/>
  <c r="K42" i="9"/>
  <c r="J42" i="9"/>
  <c r="I42" i="9"/>
  <c r="H42" i="9"/>
  <c r="G42" i="9"/>
  <c r="F42" i="9"/>
  <c r="E42" i="9"/>
  <c r="D42" i="9"/>
  <c r="O41" i="9"/>
  <c r="N41" i="9"/>
  <c r="M41" i="9"/>
  <c r="L41" i="9"/>
  <c r="K41" i="9"/>
  <c r="J41" i="9"/>
  <c r="I41" i="9"/>
  <c r="H41" i="9"/>
  <c r="G41" i="9"/>
  <c r="F41" i="9"/>
  <c r="E41" i="9"/>
  <c r="D41" i="9"/>
  <c r="O40" i="9"/>
  <c r="N40" i="9"/>
  <c r="M40" i="9"/>
  <c r="L40" i="9"/>
  <c r="K40" i="9"/>
  <c r="J40" i="9"/>
  <c r="I40" i="9"/>
  <c r="H40" i="9"/>
  <c r="G40" i="9"/>
  <c r="F40" i="9"/>
  <c r="E40" i="9"/>
  <c r="D40" i="9"/>
  <c r="O39" i="9"/>
  <c r="N39" i="9"/>
  <c r="M39" i="9"/>
  <c r="L39" i="9"/>
  <c r="K39" i="9"/>
  <c r="J39" i="9"/>
  <c r="I39" i="9"/>
  <c r="H39" i="9"/>
  <c r="G39" i="9"/>
  <c r="F39" i="9"/>
  <c r="E39" i="9"/>
  <c r="D39" i="9"/>
  <c r="O38" i="9"/>
  <c r="N38" i="9"/>
  <c r="M38" i="9"/>
  <c r="L38" i="9"/>
  <c r="K38" i="9"/>
  <c r="J38" i="9"/>
  <c r="I38" i="9"/>
  <c r="H38" i="9"/>
  <c r="G38" i="9"/>
  <c r="F38" i="9"/>
  <c r="E38" i="9"/>
  <c r="D38" i="9"/>
  <c r="O37" i="9"/>
  <c r="N37" i="9"/>
  <c r="M37" i="9"/>
  <c r="L37" i="9"/>
  <c r="K37" i="9"/>
  <c r="J37" i="9"/>
  <c r="I37" i="9"/>
  <c r="H37" i="9"/>
  <c r="G37" i="9"/>
  <c r="F37" i="9"/>
  <c r="E37" i="9"/>
  <c r="D37" i="9"/>
  <c r="O36" i="9"/>
  <c r="N36" i="9"/>
  <c r="M36" i="9"/>
  <c r="L36" i="9"/>
  <c r="K36" i="9"/>
  <c r="J36" i="9"/>
  <c r="I36" i="9"/>
  <c r="H36" i="9"/>
  <c r="G36" i="9"/>
  <c r="F36" i="9"/>
  <c r="E36" i="9"/>
  <c r="D36" i="9"/>
  <c r="O35" i="9"/>
  <c r="N35" i="9"/>
  <c r="M35" i="9"/>
  <c r="L35" i="9"/>
  <c r="K35" i="9"/>
  <c r="J35" i="9"/>
  <c r="I35" i="9"/>
  <c r="H35" i="9"/>
  <c r="G35" i="9"/>
  <c r="F35" i="9"/>
  <c r="E35" i="9"/>
  <c r="D35" i="9"/>
  <c r="O34" i="9"/>
  <c r="N34" i="9"/>
  <c r="M34" i="9"/>
  <c r="L34" i="9"/>
  <c r="K34" i="9"/>
  <c r="J34" i="9"/>
  <c r="I34" i="9"/>
  <c r="H34" i="9"/>
  <c r="G34" i="9"/>
  <c r="F34" i="9"/>
  <c r="E34" i="9"/>
  <c r="D34" i="9"/>
  <c r="O33" i="9"/>
  <c r="N33" i="9"/>
  <c r="M33" i="9"/>
  <c r="L33" i="9"/>
  <c r="K33" i="9"/>
  <c r="J33" i="9"/>
  <c r="I33" i="9"/>
  <c r="H33" i="9"/>
  <c r="G33" i="9"/>
  <c r="F33" i="9"/>
  <c r="E33" i="9"/>
  <c r="D33" i="9"/>
  <c r="O32" i="9"/>
  <c r="N32" i="9"/>
  <c r="M32" i="9"/>
  <c r="L32" i="9"/>
  <c r="K32" i="9"/>
  <c r="J32" i="9"/>
  <c r="I32" i="9"/>
  <c r="H32" i="9"/>
  <c r="G32" i="9"/>
  <c r="F32" i="9"/>
  <c r="E32" i="9"/>
  <c r="D32" i="9"/>
  <c r="O31" i="9"/>
  <c r="N31" i="9"/>
  <c r="M31" i="9"/>
  <c r="L31" i="9"/>
  <c r="K31" i="9"/>
  <c r="J31" i="9"/>
  <c r="I31" i="9"/>
  <c r="H31" i="9"/>
  <c r="G31" i="9"/>
  <c r="F31" i="9"/>
  <c r="E31" i="9"/>
  <c r="D31" i="9"/>
  <c r="O30" i="9"/>
  <c r="N30" i="9"/>
  <c r="M30" i="9"/>
  <c r="L30" i="9"/>
  <c r="K30" i="9"/>
  <c r="J30" i="9"/>
  <c r="I30" i="9"/>
  <c r="H30" i="9"/>
  <c r="G30" i="9"/>
  <c r="F30" i="9"/>
  <c r="E30" i="9"/>
  <c r="D30" i="9"/>
  <c r="O29" i="9"/>
  <c r="N29" i="9"/>
  <c r="M29" i="9"/>
  <c r="L29" i="9"/>
  <c r="K29" i="9"/>
  <c r="J29" i="9"/>
  <c r="I29" i="9"/>
  <c r="H29" i="9"/>
  <c r="G29" i="9"/>
  <c r="F29" i="9"/>
  <c r="E29" i="9"/>
  <c r="D29" i="9"/>
  <c r="O28" i="9"/>
  <c r="N28" i="9"/>
  <c r="M28" i="9"/>
  <c r="L28" i="9"/>
  <c r="K28" i="9"/>
  <c r="J28" i="9"/>
  <c r="I28" i="9"/>
  <c r="H28" i="9"/>
  <c r="G28" i="9"/>
  <c r="F28" i="9"/>
  <c r="E28" i="9"/>
  <c r="D28" i="9"/>
  <c r="O27" i="9"/>
  <c r="N27" i="9"/>
  <c r="M27" i="9"/>
  <c r="L27" i="9"/>
  <c r="K27" i="9"/>
  <c r="J27" i="9"/>
  <c r="I27" i="9"/>
  <c r="H27" i="9"/>
  <c r="G27" i="9"/>
  <c r="F27" i="9"/>
  <c r="E27" i="9"/>
  <c r="D27" i="9"/>
  <c r="O26" i="9"/>
  <c r="N26" i="9"/>
  <c r="M26" i="9"/>
  <c r="L26" i="9"/>
  <c r="K26" i="9"/>
  <c r="J26" i="9"/>
  <c r="I26" i="9"/>
  <c r="H26" i="9"/>
  <c r="G26" i="9"/>
  <c r="F26" i="9"/>
  <c r="E26" i="9"/>
  <c r="D26" i="9"/>
  <c r="O25" i="9"/>
  <c r="N25" i="9"/>
  <c r="M25" i="9"/>
  <c r="L25" i="9"/>
  <c r="K25" i="9"/>
  <c r="J25" i="9"/>
  <c r="I25" i="9"/>
  <c r="H25" i="9"/>
  <c r="G25" i="9"/>
  <c r="F25" i="9"/>
  <c r="E25" i="9"/>
  <c r="D25" i="9"/>
  <c r="O24" i="9"/>
  <c r="N24" i="9"/>
  <c r="M24" i="9"/>
  <c r="L24" i="9"/>
  <c r="K24" i="9"/>
  <c r="J24" i="9"/>
  <c r="I24" i="9"/>
  <c r="H24" i="9"/>
  <c r="G24" i="9"/>
  <c r="F24" i="9"/>
  <c r="E24" i="9"/>
  <c r="D24" i="9"/>
  <c r="O23" i="9"/>
  <c r="N23" i="9"/>
  <c r="M23" i="9"/>
  <c r="L23" i="9"/>
  <c r="K23" i="9"/>
  <c r="J23" i="9"/>
  <c r="I23" i="9"/>
  <c r="H23" i="9"/>
  <c r="G23" i="9"/>
  <c r="F23" i="9"/>
  <c r="E23" i="9"/>
  <c r="D23" i="9"/>
  <c r="O22" i="9"/>
  <c r="N22" i="9"/>
  <c r="M22" i="9"/>
  <c r="L22" i="9"/>
  <c r="K22" i="9"/>
  <c r="J22" i="9"/>
  <c r="I22" i="9"/>
  <c r="H22" i="9"/>
  <c r="G22" i="9"/>
  <c r="F22" i="9"/>
  <c r="E22" i="9"/>
  <c r="D22" i="9"/>
  <c r="O21" i="9"/>
  <c r="N21" i="9"/>
  <c r="M21" i="9"/>
  <c r="L21" i="9"/>
  <c r="K21" i="9"/>
  <c r="J21" i="9"/>
  <c r="I21" i="9"/>
  <c r="H21" i="9"/>
  <c r="G21" i="9"/>
  <c r="F21" i="9"/>
  <c r="E21" i="9"/>
  <c r="D21" i="9"/>
  <c r="O20" i="9"/>
  <c r="N20" i="9"/>
  <c r="M20" i="9"/>
  <c r="L20" i="9"/>
  <c r="K20" i="9"/>
  <c r="J20" i="9"/>
  <c r="I20" i="9"/>
  <c r="H20" i="9"/>
  <c r="G20" i="9"/>
  <c r="F20" i="9"/>
  <c r="E20" i="9"/>
  <c r="D20" i="9"/>
  <c r="O19" i="9"/>
  <c r="N19" i="9"/>
  <c r="M19" i="9"/>
  <c r="L19" i="9"/>
  <c r="K19" i="9"/>
  <c r="J19" i="9"/>
  <c r="I19" i="9"/>
  <c r="H19" i="9"/>
  <c r="G19" i="9"/>
  <c r="F19" i="9"/>
  <c r="E19" i="9"/>
  <c r="D19" i="9"/>
  <c r="O18" i="9"/>
  <c r="N18" i="9"/>
  <c r="M18" i="9"/>
  <c r="L18" i="9"/>
  <c r="K18" i="9"/>
  <c r="J18" i="9"/>
  <c r="I18" i="9"/>
  <c r="H18" i="9"/>
  <c r="G18" i="9"/>
  <c r="F18" i="9"/>
  <c r="E18" i="9"/>
  <c r="D18" i="9"/>
  <c r="D5" i="2"/>
  <c r="H2" i="2"/>
  <c r="L24" i="1"/>
  <c r="N24" i="1"/>
  <c r="B3" i="8"/>
  <c r="B4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L8" i="9"/>
  <c r="O13" i="9"/>
  <c r="K8" i="9"/>
  <c r="L7" i="9"/>
  <c r="K13" i="9"/>
  <c r="K7" i="9"/>
  <c r="E6" i="9"/>
  <c r="E8" i="9"/>
  <c r="I13" i="9"/>
  <c r="G7" i="9"/>
  <c r="G13" i="9"/>
  <c r="G6" i="9"/>
  <c r="G5" i="9"/>
  <c r="J13" i="9"/>
  <c r="G4" i="9"/>
  <c r="B9" i="9"/>
  <c r="H13" i="9"/>
  <c r="B8" i="9"/>
  <c r="E13" i="9"/>
  <c r="B7" i="9"/>
  <c r="F13" i="9"/>
  <c r="B6" i="9"/>
  <c r="B5" i="9"/>
  <c r="B13" i="9"/>
  <c r="B4" i="9"/>
  <c r="B3" i="9"/>
  <c r="D13" i="9"/>
  <c r="C2" i="9"/>
  <c r="C13" i="9"/>
  <c r="A105" i="3"/>
  <c r="A106" i="3"/>
  <c r="A107" i="3"/>
  <c r="A108" i="3"/>
  <c r="A109" i="3"/>
  <c r="A118" i="3"/>
  <c r="A119" i="3"/>
  <c r="A97" i="3"/>
  <c r="A98" i="3"/>
  <c r="A99" i="3"/>
  <c r="A100" i="3"/>
  <c r="A101" i="3"/>
  <c r="A57" i="3"/>
  <c r="A58" i="3"/>
  <c r="A59" i="3"/>
  <c r="A60" i="3"/>
  <c r="A61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115" i="3"/>
  <c r="A116" i="3"/>
  <c r="A117" i="3"/>
  <c r="A3" i="3"/>
  <c r="A4" i="3"/>
  <c r="A5" i="3"/>
  <c r="A6" i="3"/>
  <c r="A7" i="3"/>
  <c r="A2" i="3"/>
  <c r="L18" i="1"/>
  <c r="N18" i="1"/>
  <c r="Q13" i="2"/>
  <c r="M23" i="1"/>
  <c r="O23" i="1"/>
  <c r="L23" i="1"/>
  <c r="M22" i="1"/>
  <c r="O22" i="1"/>
  <c r="L22" i="1"/>
  <c r="N22" i="1"/>
  <c r="L20" i="1"/>
  <c r="N20" i="1"/>
  <c r="M16" i="1"/>
  <c r="L16" i="1"/>
  <c r="N16" i="1"/>
  <c r="X16" i="8"/>
  <c r="P13" i="8"/>
  <c r="Q13" i="8"/>
  <c r="O16" i="1"/>
  <c r="O17" i="9"/>
  <c r="L46" i="1"/>
  <c r="Q46" i="1"/>
  <c r="L45" i="1"/>
  <c r="L44" i="1"/>
  <c r="L43" i="1"/>
  <c r="L42" i="1"/>
  <c r="L41" i="1"/>
  <c r="L40" i="1"/>
  <c r="Q40" i="1"/>
  <c r="L39" i="1"/>
  <c r="L38" i="1"/>
  <c r="L37" i="1"/>
  <c r="L36" i="1"/>
  <c r="L35" i="1"/>
  <c r="N42" i="1"/>
  <c r="O42" i="1" s="1"/>
  <c r="P42" i="1" s="1"/>
  <c r="G42" i="1"/>
  <c r="B21" i="12" s="1"/>
  <c r="H46" i="1"/>
  <c r="D6" i="2"/>
  <c r="O13" i="2"/>
  <c r="N13" i="2"/>
  <c r="M13" i="2"/>
  <c r="L13" i="2"/>
  <c r="F37" i="1"/>
  <c r="M4" i="8" s="1"/>
  <c r="N4" i="8" s="1"/>
  <c r="F38" i="1"/>
  <c r="M5" i="8"/>
  <c r="N5" i="8" s="1"/>
  <c r="F39" i="1"/>
  <c r="M6" i="8" s="1"/>
  <c r="N6" i="8" s="1"/>
  <c r="F40" i="1"/>
  <c r="M7" i="8" s="1"/>
  <c r="N7" i="8" s="1"/>
  <c r="E38" i="1"/>
  <c r="L5" i="8" s="1"/>
  <c r="E39" i="1"/>
  <c r="J12" i="2" s="1"/>
  <c r="U16" i="8"/>
  <c r="P10" i="8"/>
  <c r="Q10" i="8"/>
  <c r="S16" i="8"/>
  <c r="P8" i="8"/>
  <c r="Q8" i="8"/>
  <c r="T16" i="8"/>
  <c r="P9" i="8"/>
  <c r="Q9" i="8"/>
  <c r="V16" i="8"/>
  <c r="P11" i="8"/>
  <c r="Q11" i="8"/>
  <c r="H44" i="1"/>
  <c r="M17" i="9"/>
  <c r="H42" i="1"/>
  <c r="K17" i="9"/>
  <c r="H43" i="1"/>
  <c r="L17" i="9"/>
  <c r="H41" i="1"/>
  <c r="J17" i="9"/>
  <c r="G43" i="1"/>
  <c r="B22" i="12" s="1"/>
  <c r="N44" i="1"/>
  <c r="O44" i="1" s="1"/>
  <c r="P44" i="1" s="1"/>
  <c r="G44" i="1"/>
  <c r="B23" i="12" s="1"/>
  <c r="N45" i="1"/>
  <c r="O45" i="1" s="1"/>
  <c r="P45" i="1" s="1"/>
  <c r="G45" i="1"/>
  <c r="B24" i="12" s="1"/>
  <c r="N46" i="1"/>
  <c r="O46" i="1" s="1"/>
  <c r="P46" i="1" s="1"/>
  <c r="G46" i="1"/>
  <c r="B25" i="12" s="1"/>
  <c r="F41" i="1"/>
  <c r="M8" i="8" s="1"/>
  <c r="N8" i="8" s="1"/>
  <c r="F42" i="1"/>
  <c r="M9" i="8" s="1"/>
  <c r="N9" i="8" s="1"/>
  <c r="F43" i="1"/>
  <c r="M10" i="8" s="1"/>
  <c r="N10" i="8" s="1"/>
  <c r="F44" i="1"/>
  <c r="M11" i="8" s="1"/>
  <c r="N11" i="8" s="1"/>
  <c r="F45" i="1"/>
  <c r="M12" i="8"/>
  <c r="N12" i="8" s="1"/>
  <c r="F46" i="1"/>
  <c r="M13" i="8" s="1"/>
  <c r="N13" i="8" s="1"/>
  <c r="E37" i="1"/>
  <c r="O16" i="12" s="1"/>
  <c r="E40" i="1"/>
  <c r="O19" i="12" s="1"/>
  <c r="E41" i="1"/>
  <c r="L8" i="8" s="1"/>
  <c r="E42" i="1"/>
  <c r="L9" i="8" s="1"/>
  <c r="E43" i="1"/>
  <c r="O22" i="12" s="1"/>
  <c r="E44" i="1"/>
  <c r="O12" i="2" s="1"/>
  <c r="E45" i="1"/>
  <c r="O24" i="12" s="1"/>
  <c r="E46" i="1"/>
  <c r="O25" i="12" s="1"/>
  <c r="O23" i="12"/>
  <c r="K23" i="12" s="1"/>
  <c r="A23" i="12" s="1"/>
  <c r="P23" i="12"/>
  <c r="L11" i="8"/>
  <c r="O11" i="8" s="1"/>
  <c r="J43" i="1"/>
  <c r="J46" i="1"/>
  <c r="J44" i="1"/>
  <c r="J42" i="1"/>
  <c r="Q44" i="1"/>
  <c r="F36" i="1"/>
  <c r="M3" i="8" s="1"/>
  <c r="N3" i="8" s="1"/>
  <c r="I13" i="2"/>
  <c r="Q5" i="8"/>
  <c r="H13" i="2"/>
  <c r="Q4" i="8"/>
  <c r="G13" i="2"/>
  <c r="P13" i="2"/>
  <c r="Q12" i="8"/>
  <c r="K13" i="2"/>
  <c r="Q7" i="8"/>
  <c r="J13" i="2"/>
  <c r="Q6" i="8"/>
  <c r="F13" i="2"/>
  <c r="F35" i="1"/>
  <c r="M2" i="8" s="1"/>
  <c r="N2" i="8" s="1"/>
  <c r="E35" i="1"/>
  <c r="O14" i="12" s="1"/>
  <c r="N13" i="12" s="1"/>
  <c r="E36" i="1"/>
  <c r="O15" i="12" s="1"/>
  <c r="M16" i="8"/>
  <c r="P2" i="8"/>
  <c r="Q2" i="8"/>
  <c r="N16" i="8"/>
  <c r="P3" i="8"/>
  <c r="Q3" i="8"/>
  <c r="S13" i="2"/>
  <c r="O16" i="8"/>
  <c r="P4" i="8"/>
  <c r="P16" i="8"/>
  <c r="P5" i="8"/>
  <c r="W16" i="8"/>
  <c r="P12" i="8"/>
  <c r="Q16" i="8"/>
  <c r="P6" i="8"/>
  <c r="R16" i="8"/>
  <c r="P7" i="8"/>
  <c r="H45" i="1"/>
  <c r="N17" i="9"/>
  <c r="H35" i="1"/>
  <c r="D17" i="9"/>
  <c r="H36" i="1"/>
  <c r="E17" i="9"/>
  <c r="H37" i="1"/>
  <c r="F17" i="9"/>
  <c r="H40" i="1"/>
  <c r="I17" i="9"/>
  <c r="H39" i="1"/>
  <c r="H17" i="9"/>
  <c r="H38" i="1"/>
  <c r="G17" i="9"/>
  <c r="D4" i="2"/>
  <c r="A15" i="9"/>
  <c r="L13" i="9"/>
  <c r="Q14" i="8"/>
  <c r="P14" i="8"/>
  <c r="Q45" i="1"/>
  <c r="J45" i="1"/>
  <c r="D30" i="1"/>
  <c r="J30" i="1"/>
  <c r="U13" i="9"/>
  <c r="B13" i="12"/>
  <c r="O13" i="12"/>
  <c r="C13" i="12"/>
  <c r="G13" i="12"/>
  <c r="M13" i="12"/>
  <c r="M11" i="12"/>
  <c r="B7" i="12"/>
  <c r="K13" i="12"/>
  <c r="J13" i="12"/>
  <c r="J11" i="12"/>
  <c r="D13" i="12"/>
  <c r="K11" i="12"/>
  <c r="B9" i="12"/>
  <c r="A13" i="12"/>
  <c r="G40" i="1"/>
  <c r="B19" i="12" s="1"/>
  <c r="I18" i="8"/>
  <c r="I20" i="8"/>
  <c r="I26" i="8"/>
  <c r="I25" i="8"/>
  <c r="I24" i="8"/>
  <c r="I19" i="8"/>
  <c r="I23" i="8"/>
  <c r="I21" i="8"/>
  <c r="I22" i="8"/>
  <c r="I48" i="8"/>
  <c r="O21" i="12" l="1"/>
  <c r="N12" i="2"/>
  <c r="M12" i="2"/>
  <c r="K16" i="9" s="1"/>
  <c r="D23" i="12"/>
  <c r="S11" i="8"/>
  <c r="G23" i="12"/>
  <c r="O9" i="8"/>
  <c r="R9" i="8" s="1"/>
  <c r="S9" i="8"/>
  <c r="T9" i="8" s="1"/>
  <c r="E21" i="12"/>
  <c r="L21" i="12"/>
  <c r="J23" i="12"/>
  <c r="N21" i="12"/>
  <c r="I23" i="12"/>
  <c r="K21" i="12"/>
  <c r="A21" i="12" s="1"/>
  <c r="N23" i="12"/>
  <c r="F23" i="12"/>
  <c r="R11" i="8"/>
  <c r="J25" i="12"/>
  <c r="D25" i="12"/>
  <c r="M25" i="12"/>
  <c r="F25" i="12"/>
  <c r="H25" i="12"/>
  <c r="P25" i="12"/>
  <c r="N25" i="12"/>
  <c r="L25" i="12"/>
  <c r="G25" i="12"/>
  <c r="K25" i="12"/>
  <c r="A25" i="12" s="1"/>
  <c r="I25" i="12"/>
  <c r="C25" i="12"/>
  <c r="E25" i="12"/>
  <c r="P24" i="12"/>
  <c r="H24" i="12"/>
  <c r="K24" i="12"/>
  <c r="A24" i="12" s="1"/>
  <c r="E24" i="12"/>
  <c r="L24" i="12"/>
  <c r="N24" i="12"/>
  <c r="D24" i="12"/>
  <c r="G24" i="12"/>
  <c r="I24" i="12"/>
  <c r="F24" i="12"/>
  <c r="J24" i="12"/>
  <c r="C24" i="12"/>
  <c r="M24" i="12"/>
  <c r="O46" i="2"/>
  <c r="M16" i="9"/>
  <c r="F22" i="12"/>
  <c r="N22" i="12"/>
  <c r="P22" i="12"/>
  <c r="G22" i="12"/>
  <c r="D22" i="12"/>
  <c r="E22" i="12"/>
  <c r="M22" i="12"/>
  <c r="C22" i="12"/>
  <c r="L22" i="12"/>
  <c r="I22" i="12"/>
  <c r="H22" i="12"/>
  <c r="K22" i="12"/>
  <c r="A22" i="12" s="1"/>
  <c r="J22" i="12"/>
  <c r="T11" i="8"/>
  <c r="F21" i="12"/>
  <c r="I21" i="12"/>
  <c r="H21" i="12"/>
  <c r="L23" i="12"/>
  <c r="Q12" i="2"/>
  <c r="L13" i="8"/>
  <c r="H23" i="12"/>
  <c r="J21" i="12"/>
  <c r="M23" i="12"/>
  <c r="G21" i="12"/>
  <c r="C23" i="12"/>
  <c r="P12" i="2"/>
  <c r="M46" i="2"/>
  <c r="D21" i="12"/>
  <c r="C21" i="12"/>
  <c r="E23" i="12"/>
  <c r="L12" i="8"/>
  <c r="L10" i="8"/>
  <c r="M11" i="1"/>
  <c r="E14" i="1" s="1"/>
  <c r="L11" i="1"/>
  <c r="L10" i="1" s="1"/>
  <c r="M14" i="12"/>
  <c r="F12" i="2"/>
  <c r="F46" i="2" s="1"/>
  <c r="K14" i="12"/>
  <c r="A14" i="12" s="1"/>
  <c r="S38" i="1"/>
  <c r="L6" i="8"/>
  <c r="S6" i="8" s="1"/>
  <c r="T6" i="8" s="1"/>
  <c r="O18" i="12"/>
  <c r="L18" i="12" s="1"/>
  <c r="S8" i="8"/>
  <c r="L12" i="2"/>
  <c r="O20" i="12"/>
  <c r="L7" i="8"/>
  <c r="S7" i="8" s="1"/>
  <c r="T7" i="8" s="1"/>
  <c r="F19" i="12"/>
  <c r="J19" i="12"/>
  <c r="M19" i="12"/>
  <c r="L19" i="12"/>
  <c r="H19" i="12"/>
  <c r="K19" i="12"/>
  <c r="A19" i="12" s="1"/>
  <c r="I19" i="12"/>
  <c r="P19" i="12"/>
  <c r="G19" i="12"/>
  <c r="C19" i="12"/>
  <c r="D19" i="12"/>
  <c r="N19" i="12"/>
  <c r="E19" i="12"/>
  <c r="K12" i="2"/>
  <c r="J40" i="1"/>
  <c r="H16" i="9"/>
  <c r="J46" i="2"/>
  <c r="Q17" i="8"/>
  <c r="N43" i="1"/>
  <c r="O43" i="1" s="1"/>
  <c r="P43" i="1" s="1"/>
  <c r="N39" i="1"/>
  <c r="O39" i="1" s="1"/>
  <c r="P39" i="1" s="1"/>
  <c r="G39" i="1" s="1"/>
  <c r="L15" i="12"/>
  <c r="P15" i="12"/>
  <c r="M17" i="8"/>
  <c r="E14" i="12"/>
  <c r="S35" i="1"/>
  <c r="L2" i="8"/>
  <c r="S2" i="8" s="1"/>
  <c r="T2" i="8" s="1"/>
  <c r="S36" i="1"/>
  <c r="I14" i="12"/>
  <c r="G15" i="12"/>
  <c r="E15" i="12"/>
  <c r="S37" i="1"/>
  <c r="G16" i="12"/>
  <c r="P16" i="12"/>
  <c r="L16" i="12"/>
  <c r="D16" i="12"/>
  <c r="N16" i="12"/>
  <c r="I16" i="12"/>
  <c r="H16" i="12"/>
  <c r="M16" i="12"/>
  <c r="J16" i="12"/>
  <c r="L4" i="8"/>
  <c r="S4" i="8" s="1"/>
  <c r="T4" i="8" s="1"/>
  <c r="H12" i="2"/>
  <c r="O17" i="8" s="1"/>
  <c r="S5" i="8"/>
  <c r="N38" i="1"/>
  <c r="O38" i="1" s="1"/>
  <c r="P38" i="1" s="1"/>
  <c r="G38" i="1" s="1"/>
  <c r="Q38" i="1"/>
  <c r="O17" i="12"/>
  <c r="I12" i="2"/>
  <c r="N14" i="8"/>
  <c r="F344" i="8" s="1"/>
  <c r="Q37" i="1"/>
  <c r="N37" i="1"/>
  <c r="O37" i="1" s="1"/>
  <c r="P37" i="1" s="1"/>
  <c r="G37" i="1" s="1"/>
  <c r="E16" i="12"/>
  <c r="K16" i="12"/>
  <c r="A16" i="12" s="1"/>
  <c r="C16" i="12"/>
  <c r="F16" i="12"/>
  <c r="N36" i="1"/>
  <c r="O36" i="1" s="1"/>
  <c r="P36" i="1" s="1"/>
  <c r="G36" i="1" s="1"/>
  <c r="Q36" i="1"/>
  <c r="L3" i="8"/>
  <c r="G12" i="2"/>
  <c r="N17" i="8" s="1"/>
  <c r="J15" i="12"/>
  <c r="F15" i="12"/>
  <c r="I15" i="12"/>
  <c r="M15" i="12"/>
  <c r="N15" i="12"/>
  <c r="H15" i="12"/>
  <c r="C15" i="12"/>
  <c r="D15" i="12"/>
  <c r="K15" i="12"/>
  <c r="A15" i="12" s="1"/>
  <c r="N41" i="1"/>
  <c r="O41" i="1" s="1"/>
  <c r="P41" i="1" s="1"/>
  <c r="G41" i="1" s="1"/>
  <c r="M34" i="1"/>
  <c r="F14" i="12"/>
  <c r="D14" i="12"/>
  <c r="L14" i="12"/>
  <c r="J14" i="12"/>
  <c r="H14" i="12"/>
  <c r="N14" i="12"/>
  <c r="C14" i="12"/>
  <c r="G14" i="12"/>
  <c r="P14" i="12"/>
  <c r="Q35" i="1"/>
  <c r="B2" i="6"/>
  <c r="C2" i="6"/>
  <c r="M2" i="6" s="1"/>
  <c r="M1" i="6" s="1"/>
  <c r="L6" i="6" s="1"/>
  <c r="L16" i="9" l="1"/>
  <c r="N46" i="2"/>
  <c r="M21" i="12"/>
  <c r="P21" i="12"/>
  <c r="D16" i="9"/>
  <c r="N16" i="9"/>
  <c r="P46" i="2"/>
  <c r="S10" i="8"/>
  <c r="K10" i="8" s="1"/>
  <c r="O10" i="8"/>
  <c r="R10" i="8" s="1"/>
  <c r="O13" i="8"/>
  <c r="R13" i="8" s="1"/>
  <c r="S13" i="8"/>
  <c r="S12" i="8"/>
  <c r="K12" i="8" s="1"/>
  <c r="O12" i="8"/>
  <c r="R12" i="8" s="1"/>
  <c r="O16" i="9"/>
  <c r="Q46" i="2"/>
  <c r="E13" i="1"/>
  <c r="L12" i="1"/>
  <c r="H18" i="12"/>
  <c r="U7" i="8"/>
  <c r="U6" i="8"/>
  <c r="F18" i="12"/>
  <c r="D18" i="12"/>
  <c r="P18" i="12"/>
  <c r="G18" i="12"/>
  <c r="E18" i="12"/>
  <c r="C18" i="12"/>
  <c r="N18" i="12"/>
  <c r="K18" i="12"/>
  <c r="A18" i="12" s="1"/>
  <c r="J18" i="12"/>
  <c r="M18" i="12"/>
  <c r="I18" i="12"/>
  <c r="G20" i="12"/>
  <c r="C20" i="12"/>
  <c r="M20" i="12"/>
  <c r="L20" i="12"/>
  <c r="N20" i="12"/>
  <c r="J20" i="12"/>
  <c r="K20" i="12"/>
  <c r="A20" i="12" s="1"/>
  <c r="I20" i="12"/>
  <c r="F20" i="12"/>
  <c r="D20" i="12"/>
  <c r="P20" i="12"/>
  <c r="E20" i="12"/>
  <c r="H20" i="12"/>
  <c r="J16" i="9"/>
  <c r="L46" i="2"/>
  <c r="S17" i="8"/>
  <c r="B20" i="12"/>
  <c r="J41" i="1"/>
  <c r="U8" i="8"/>
  <c r="T8" i="8"/>
  <c r="K46" i="2"/>
  <c r="R17" i="8"/>
  <c r="I16" i="9"/>
  <c r="B18" i="12"/>
  <c r="J39" i="1"/>
  <c r="F45" i="8"/>
  <c r="F137" i="8"/>
  <c r="F225" i="8"/>
  <c r="C35" i="8"/>
  <c r="F114" i="8"/>
  <c r="C147" i="8"/>
  <c r="C174" i="8"/>
  <c r="C133" i="8"/>
  <c r="E86" i="8"/>
  <c r="E313" i="8"/>
  <c r="C31" i="8"/>
  <c r="U4" i="8"/>
  <c r="S33" i="1"/>
  <c r="D31" i="1" s="1"/>
  <c r="I15" i="8" s="1"/>
  <c r="F10" i="8"/>
  <c r="E281" i="8"/>
  <c r="C110" i="8"/>
  <c r="F201" i="8"/>
  <c r="C75" i="8"/>
  <c r="C243" i="8"/>
  <c r="F331" i="8"/>
  <c r="C348" i="8"/>
  <c r="F243" i="8"/>
  <c r="F154" i="8"/>
  <c r="E338" i="8"/>
  <c r="F61" i="8"/>
  <c r="C275" i="8"/>
  <c r="F179" i="8"/>
  <c r="C324" i="8"/>
  <c r="C34" i="8"/>
  <c r="C77" i="8"/>
  <c r="E93" i="8"/>
  <c r="F48" i="8"/>
  <c r="F334" i="8"/>
  <c r="F2" i="8"/>
  <c r="E84" i="8"/>
  <c r="F14" i="8"/>
  <c r="C178" i="8"/>
  <c r="E305" i="8"/>
  <c r="E7" i="8"/>
  <c r="E232" i="8"/>
  <c r="E351" i="8"/>
  <c r="F127" i="8"/>
  <c r="F153" i="8"/>
  <c r="C14" i="8"/>
  <c r="E236" i="8"/>
  <c r="E261" i="8"/>
  <c r="C357" i="8"/>
  <c r="C6" i="8"/>
  <c r="C169" i="8"/>
  <c r="F84" i="8"/>
  <c r="F320" i="8"/>
  <c r="C328" i="8"/>
  <c r="F335" i="8"/>
  <c r="C57" i="8"/>
  <c r="E299" i="8"/>
  <c r="F358" i="8"/>
  <c r="C339" i="8"/>
  <c r="E164" i="8"/>
  <c r="F345" i="8"/>
  <c r="C330" i="8"/>
  <c r="C237" i="8"/>
  <c r="E203" i="8"/>
  <c r="C121" i="8"/>
  <c r="E22" i="8"/>
  <c r="F26" i="8"/>
  <c r="C286" i="8"/>
  <c r="C137" i="8"/>
  <c r="F181" i="8"/>
  <c r="E109" i="8"/>
  <c r="F31" i="8"/>
  <c r="E296" i="8"/>
  <c r="E286" i="8"/>
  <c r="F191" i="8"/>
  <c r="F185" i="8"/>
  <c r="E35" i="8"/>
  <c r="E268" i="8"/>
  <c r="E54" i="8"/>
  <c r="E251" i="8"/>
  <c r="F176" i="8"/>
  <c r="F126" i="8"/>
  <c r="E135" i="8"/>
  <c r="F53" i="8"/>
  <c r="E106" i="8"/>
  <c r="F275" i="8"/>
  <c r="F301" i="8"/>
  <c r="C82" i="8"/>
  <c r="C118" i="8"/>
  <c r="C149" i="8"/>
  <c r="C171" i="8"/>
  <c r="C259" i="8"/>
  <c r="F15" i="8"/>
  <c r="E284" i="8"/>
  <c r="E215" i="8"/>
  <c r="F167" i="8"/>
  <c r="F165" i="8"/>
  <c r="F166" i="8"/>
  <c r="F73" i="8"/>
  <c r="F214" i="8"/>
  <c r="F354" i="8"/>
  <c r="C59" i="8"/>
  <c r="F7" i="8"/>
  <c r="E56" i="8"/>
  <c r="E121" i="8"/>
  <c r="E266" i="8"/>
  <c r="F215" i="8"/>
  <c r="F169" i="8"/>
  <c r="C212" i="8"/>
  <c r="C297" i="8"/>
  <c r="C255" i="8"/>
  <c r="C240" i="8"/>
  <c r="C214" i="8"/>
  <c r="F142" i="8"/>
  <c r="E219" i="8"/>
  <c r="C179" i="8"/>
  <c r="E201" i="8"/>
  <c r="C135" i="8"/>
  <c r="E128" i="8"/>
  <c r="C55" i="8"/>
  <c r="F8" i="8"/>
  <c r="F188" i="8"/>
  <c r="C22" i="8"/>
  <c r="E160" i="8"/>
  <c r="F283" i="8"/>
  <c r="E214" i="8"/>
  <c r="E85" i="8"/>
  <c r="C267" i="8"/>
  <c r="F224" i="8"/>
  <c r="C78" i="8"/>
  <c r="C191" i="8"/>
  <c r="C144" i="8"/>
  <c r="F91" i="8"/>
  <c r="F18" i="8"/>
  <c r="E291" i="8"/>
  <c r="E212" i="8"/>
  <c r="F72" i="8"/>
  <c r="E193" i="8"/>
  <c r="E254" i="8"/>
  <c r="F172" i="8"/>
  <c r="C32" i="8"/>
  <c r="E151" i="8"/>
  <c r="E133" i="8"/>
  <c r="E310" i="8"/>
  <c r="F131" i="8"/>
  <c r="F125" i="8"/>
  <c r="C172" i="8"/>
  <c r="E64" i="8"/>
  <c r="E301" i="8"/>
  <c r="E158" i="8"/>
  <c r="F200" i="8"/>
  <c r="C156" i="8"/>
  <c r="C285" i="8"/>
  <c r="C276" i="8"/>
  <c r="C299" i="8"/>
  <c r="C359" i="8"/>
  <c r="F68" i="8"/>
  <c r="E12" i="8"/>
  <c r="E169" i="8"/>
  <c r="E344" i="8"/>
  <c r="F307" i="8"/>
  <c r="F174" i="8"/>
  <c r="C162" i="8"/>
  <c r="C126" i="8"/>
  <c r="C170" i="8"/>
  <c r="C207" i="8"/>
  <c r="C254" i="8"/>
  <c r="E19" i="8"/>
  <c r="E244" i="8"/>
  <c r="E317" i="8"/>
  <c r="E126" i="8"/>
  <c r="F124" i="8"/>
  <c r="F321" i="8"/>
  <c r="C66" i="8"/>
  <c r="F77" i="8"/>
  <c r="F70" i="8"/>
  <c r="F55" i="8"/>
  <c r="F35" i="8"/>
  <c r="C360" i="8"/>
  <c r="E31" i="8"/>
  <c r="C81" i="8"/>
  <c r="F76" i="8"/>
  <c r="C292" i="8"/>
  <c r="C231" i="8"/>
  <c r="F302" i="8"/>
  <c r="F104" i="8"/>
  <c r="E356" i="8"/>
  <c r="E149" i="8"/>
  <c r="E8" i="8"/>
  <c r="E237" i="8"/>
  <c r="F81" i="8"/>
  <c r="F292" i="8"/>
  <c r="F355" i="8"/>
  <c r="C217" i="8"/>
  <c r="E190" i="8"/>
  <c r="E152" i="8"/>
  <c r="E104" i="8"/>
  <c r="E225" i="8"/>
  <c r="E46" i="8"/>
  <c r="C17" i="8"/>
  <c r="F219" i="8"/>
  <c r="C38" i="8"/>
  <c r="E311" i="8"/>
  <c r="C321" i="8"/>
  <c r="E53" i="8"/>
  <c r="C273" i="8"/>
  <c r="F79" i="8"/>
  <c r="F237" i="8"/>
  <c r="C122" i="8"/>
  <c r="F109" i="8"/>
  <c r="F299" i="8"/>
  <c r="E358" i="8"/>
  <c r="C129" i="8"/>
  <c r="C309" i="8"/>
  <c r="C353" i="8"/>
  <c r="F86" i="8"/>
  <c r="C28" i="8"/>
  <c r="F149" i="8"/>
  <c r="E326" i="8"/>
  <c r="E4" i="8"/>
  <c r="C43" i="8"/>
  <c r="C218" i="8"/>
  <c r="C280" i="8"/>
  <c r="C242" i="8"/>
  <c r="F326" i="8"/>
  <c r="E57" i="8"/>
  <c r="E97" i="8"/>
  <c r="F255" i="8"/>
  <c r="C136" i="8"/>
  <c r="E332" i="8"/>
  <c r="E34" i="8"/>
  <c r="F208" i="8"/>
  <c r="C204" i="8"/>
  <c r="E316" i="8"/>
  <c r="E98" i="8"/>
  <c r="F248" i="8"/>
  <c r="F338" i="8"/>
  <c r="C175" i="8"/>
  <c r="F44" i="8"/>
  <c r="C89" i="8"/>
  <c r="E51" i="8"/>
  <c r="E217" i="8"/>
  <c r="E235" i="8"/>
  <c r="F209" i="8"/>
  <c r="C210" i="8"/>
  <c r="C298" i="8"/>
  <c r="C73" i="8"/>
  <c r="C355" i="8"/>
  <c r="E155" i="8"/>
  <c r="E221" i="8"/>
  <c r="E259" i="8"/>
  <c r="F316" i="8"/>
  <c r="F186" i="8"/>
  <c r="F322" i="8"/>
  <c r="C113" i="8"/>
  <c r="C268" i="8"/>
  <c r="C312" i="8"/>
  <c r="E71" i="8"/>
  <c r="C93" i="8"/>
  <c r="F67" i="8"/>
  <c r="C213" i="8"/>
  <c r="F202" i="8"/>
  <c r="C184" i="8"/>
  <c r="F244" i="8"/>
  <c r="E30" i="8"/>
  <c r="E89" i="8"/>
  <c r="F47" i="8"/>
  <c r="E272" i="8"/>
  <c r="F287" i="8"/>
  <c r="E165" i="8"/>
  <c r="F240" i="8"/>
  <c r="E17" i="8"/>
  <c r="F133" i="8"/>
  <c r="C233" i="8"/>
  <c r="C153" i="8"/>
  <c r="E269" i="8"/>
  <c r="F265" i="8"/>
  <c r="F64" i="8"/>
  <c r="F11" i="8"/>
  <c r="F12" i="8"/>
  <c r="E349" i="8"/>
  <c r="C18" i="8"/>
  <c r="C177" i="8"/>
  <c r="F17" i="8"/>
  <c r="C12" i="8"/>
  <c r="C127" i="8"/>
  <c r="C124" i="8"/>
  <c r="F184" i="8"/>
  <c r="E33" i="8"/>
  <c r="C90" i="8"/>
  <c r="F277" i="8"/>
  <c r="E353" i="8"/>
  <c r="E257" i="8"/>
  <c r="F204" i="8"/>
  <c r="E63" i="8"/>
  <c r="E197" i="8"/>
  <c r="F189" i="8"/>
  <c r="F250" i="8"/>
  <c r="E345" i="8"/>
  <c r="C215" i="8"/>
  <c r="F34" i="8"/>
  <c r="C120" i="8"/>
  <c r="F297" i="8"/>
  <c r="F175" i="8"/>
  <c r="E72" i="8"/>
  <c r="C247" i="8"/>
  <c r="F43" i="8"/>
  <c r="F89" i="8"/>
  <c r="F194" i="8"/>
  <c r="F65" i="8"/>
  <c r="E129" i="8"/>
  <c r="C168" i="8"/>
  <c r="E187" i="8"/>
  <c r="C236" i="8"/>
  <c r="E354" i="8"/>
  <c r="C39" i="8"/>
  <c r="F106" i="8"/>
  <c r="E99" i="8"/>
  <c r="E246" i="8"/>
  <c r="C257" i="8"/>
  <c r="C143" i="8"/>
  <c r="E273" i="8"/>
  <c r="F117" i="8"/>
  <c r="C62" i="8"/>
  <c r="C322" i="8"/>
  <c r="E111" i="8"/>
  <c r="C332" i="8"/>
  <c r="F41" i="8"/>
  <c r="E234" i="8"/>
  <c r="C30" i="8"/>
  <c r="C249" i="8"/>
  <c r="C193" i="8"/>
  <c r="C83" i="8"/>
  <c r="C71" i="8"/>
  <c r="E199" i="8"/>
  <c r="E20" i="8"/>
  <c r="F298" i="8"/>
  <c r="E361" i="8"/>
  <c r="F85" i="8"/>
  <c r="F213" i="8"/>
  <c r="C319" i="8"/>
  <c r="C302" i="8"/>
  <c r="F207" i="8"/>
  <c r="F346" i="8"/>
  <c r="F170" i="8"/>
  <c r="C182" i="8"/>
  <c r="C203" i="8"/>
  <c r="C146" i="8"/>
  <c r="E66" i="8"/>
  <c r="C176" i="8"/>
  <c r="E256" i="8"/>
  <c r="C223" i="8"/>
  <c r="E218" i="8"/>
  <c r="C361" i="8"/>
  <c r="E38" i="8"/>
  <c r="F300" i="8"/>
  <c r="E87" i="8"/>
  <c r="E229" i="8"/>
  <c r="F99" i="8"/>
  <c r="F221" i="8"/>
  <c r="E95" i="8"/>
  <c r="E173" i="8"/>
  <c r="E162" i="8"/>
  <c r="E29" i="8"/>
  <c r="E94" i="8"/>
  <c r="F94" i="8"/>
  <c r="C290" i="8"/>
  <c r="C211" i="8"/>
  <c r="E245" i="8"/>
  <c r="C296" i="8"/>
  <c r="F280" i="8"/>
  <c r="E39" i="8"/>
  <c r="F203" i="8"/>
  <c r="F132" i="8"/>
  <c r="F247" i="8"/>
  <c r="E59" i="8"/>
  <c r="E186" i="8"/>
  <c r="F332" i="8"/>
  <c r="E183" i="8"/>
  <c r="E303" i="8"/>
  <c r="F163" i="8"/>
  <c r="F253" i="8"/>
  <c r="E175" i="8"/>
  <c r="E341" i="8"/>
  <c r="F107" i="8"/>
  <c r="F341" i="8"/>
  <c r="C317" i="8"/>
  <c r="F242" i="8"/>
  <c r="C229" i="8"/>
  <c r="C9" i="8"/>
  <c r="E184" i="8"/>
  <c r="E122" i="8"/>
  <c r="F116" i="8"/>
  <c r="C152" i="8"/>
  <c r="F290" i="8"/>
  <c r="C234" i="8"/>
  <c r="F20" i="8"/>
  <c r="C88" i="8"/>
  <c r="E288" i="8"/>
  <c r="E327" i="8"/>
  <c r="F267" i="8"/>
  <c r="F190" i="8"/>
  <c r="C221" i="8"/>
  <c r="C303" i="8"/>
  <c r="F162" i="8"/>
  <c r="C67" i="8"/>
  <c r="F5" i="8"/>
  <c r="C323" i="8"/>
  <c r="C101" i="8"/>
  <c r="F32" i="8"/>
  <c r="C157" i="8"/>
  <c r="F257" i="8"/>
  <c r="F155" i="8"/>
  <c r="E207" i="8"/>
  <c r="E180" i="8"/>
  <c r="E318" i="8"/>
  <c r="K8" i="8"/>
  <c r="E167" i="8"/>
  <c r="C166" i="8"/>
  <c r="F38" i="8"/>
  <c r="F103" i="8"/>
  <c r="E196" i="8"/>
  <c r="E131" i="8"/>
  <c r="F218" i="8"/>
  <c r="E36" i="8"/>
  <c r="E211" i="8"/>
  <c r="F123" i="8"/>
  <c r="E115" i="8"/>
  <c r="E250" i="8"/>
  <c r="F313" i="8"/>
  <c r="E140" i="8"/>
  <c r="E355" i="8"/>
  <c r="F291" i="8"/>
  <c r="F317" i="8"/>
  <c r="E32" i="8"/>
  <c r="E134" i="8"/>
  <c r="F235" i="8"/>
  <c r="F286" i="8"/>
  <c r="C349" i="8"/>
  <c r="C85" i="8"/>
  <c r="C316" i="8"/>
  <c r="F3" i="8"/>
  <c r="E240" i="8"/>
  <c r="E242" i="8"/>
  <c r="F216" i="8"/>
  <c r="C208" i="8"/>
  <c r="C47" i="8"/>
  <c r="C283" i="8"/>
  <c r="F342" i="8"/>
  <c r="C92" i="8"/>
  <c r="E340" i="8"/>
  <c r="E346" i="8"/>
  <c r="F311" i="8"/>
  <c r="C52" i="8"/>
  <c r="C261" i="8"/>
  <c r="C351" i="8"/>
  <c r="F361" i="8"/>
  <c r="C138" i="8"/>
  <c r="C91" i="8"/>
  <c r="C248" i="8"/>
  <c r="F347" i="8"/>
  <c r="C225" i="8"/>
  <c r="C98" i="8"/>
  <c r="F197" i="8"/>
  <c r="E350" i="8"/>
  <c r="E6" i="8"/>
  <c r="E120" i="8"/>
  <c r="E42" i="8"/>
  <c r="E100" i="8"/>
  <c r="E204" i="8"/>
  <c r="E195" i="8"/>
  <c r="E343" i="8"/>
  <c r="E127" i="8"/>
  <c r="E227" i="8"/>
  <c r="F146" i="8"/>
  <c r="C278" i="8"/>
  <c r="C7" i="8"/>
  <c r="C336" i="8"/>
  <c r="C167" i="8"/>
  <c r="F171" i="8"/>
  <c r="E192" i="8"/>
  <c r="F30" i="8"/>
  <c r="C329" i="8"/>
  <c r="F263" i="8"/>
  <c r="E132" i="8"/>
  <c r="C51" i="8"/>
  <c r="C196" i="8"/>
  <c r="C108" i="8"/>
  <c r="C64" i="8"/>
  <c r="E154" i="8"/>
  <c r="C80" i="8"/>
  <c r="C154" i="8"/>
  <c r="E334" i="8"/>
  <c r="E255" i="8"/>
  <c r="C161" i="8"/>
  <c r="F329" i="8"/>
  <c r="F58" i="8"/>
  <c r="C150" i="8"/>
  <c r="E81" i="8"/>
  <c r="F113" i="8"/>
  <c r="E14" i="8"/>
  <c r="C21" i="8"/>
  <c r="F95" i="8"/>
  <c r="C333" i="8"/>
  <c r="F37" i="8"/>
  <c r="E336" i="8"/>
  <c r="E278" i="8"/>
  <c r="E312" i="8"/>
  <c r="F295" i="8"/>
  <c r="C325" i="8"/>
  <c r="C258" i="8"/>
  <c r="C202" i="8"/>
  <c r="F266" i="8"/>
  <c r="C112" i="8"/>
  <c r="E348" i="8"/>
  <c r="F63" i="8"/>
  <c r="F39" i="8"/>
  <c r="C61" i="8"/>
  <c r="E238" i="8"/>
  <c r="F97" i="8"/>
  <c r="F27" i="8"/>
  <c r="F120" i="8"/>
  <c r="F323" i="8"/>
  <c r="E357" i="8"/>
  <c r="E274" i="8"/>
  <c r="F46" i="8"/>
  <c r="F296" i="8"/>
  <c r="E74" i="8"/>
  <c r="E168" i="8"/>
  <c r="E171" i="8"/>
  <c r="E347" i="8"/>
  <c r="F130" i="8"/>
  <c r="K6" i="8"/>
  <c r="F29" i="8"/>
  <c r="F220" i="8"/>
  <c r="C195" i="8"/>
  <c r="C250" i="8"/>
  <c r="E117" i="8"/>
  <c r="F83" i="8"/>
  <c r="C253" i="8"/>
  <c r="E276" i="8"/>
  <c r="E300" i="8"/>
  <c r="F135" i="8"/>
  <c r="C44" i="8"/>
  <c r="C8" i="8"/>
  <c r="C79" i="8"/>
  <c r="F168" i="8"/>
  <c r="C131" i="8"/>
  <c r="C190" i="8"/>
  <c r="F260" i="8"/>
  <c r="C115" i="8"/>
  <c r="F122" i="8"/>
  <c r="E60" i="8"/>
  <c r="E18" i="8"/>
  <c r="C29" i="8"/>
  <c r="C352" i="8"/>
  <c r="F9" i="8"/>
  <c r="C288" i="8"/>
  <c r="C119" i="8"/>
  <c r="E92" i="8"/>
  <c r="C263" i="8"/>
  <c r="C293" i="8"/>
  <c r="F211" i="8"/>
  <c r="E88" i="8"/>
  <c r="C256" i="8"/>
  <c r="F261" i="8"/>
  <c r="C68" i="8"/>
  <c r="F348" i="8"/>
  <c r="E290" i="8"/>
  <c r="C99" i="8"/>
  <c r="C183" i="8"/>
  <c r="F42" i="8"/>
  <c r="E252" i="8"/>
  <c r="F231" i="8"/>
  <c r="C277" i="8"/>
  <c r="C186" i="8"/>
  <c r="C264" i="8"/>
  <c r="C42" i="8"/>
  <c r="C160" i="8"/>
  <c r="E302" i="8"/>
  <c r="E103" i="8"/>
  <c r="F134" i="8"/>
  <c r="C114" i="8"/>
  <c r="E110" i="8"/>
  <c r="C206" i="8"/>
  <c r="F160" i="8"/>
  <c r="F144" i="8"/>
  <c r="E198" i="8"/>
  <c r="E96" i="8"/>
  <c r="F226" i="8"/>
  <c r="F141" i="8"/>
  <c r="E209" i="8"/>
  <c r="F308" i="8"/>
  <c r="C41" i="8"/>
  <c r="F310" i="8"/>
  <c r="F349" i="8"/>
  <c r="C197" i="8"/>
  <c r="F269" i="8"/>
  <c r="E223" i="8"/>
  <c r="F6" i="8"/>
  <c r="C106" i="8"/>
  <c r="C48" i="8"/>
  <c r="E70" i="8"/>
  <c r="C344" i="8"/>
  <c r="F118" i="8"/>
  <c r="E262" i="8"/>
  <c r="E322" i="8"/>
  <c r="E200" i="8"/>
  <c r="C11" i="8"/>
  <c r="E224" i="8"/>
  <c r="E263" i="8"/>
  <c r="C84" i="8"/>
  <c r="E287" i="8"/>
  <c r="C265" i="8"/>
  <c r="F74" i="8"/>
  <c r="E124" i="8"/>
  <c r="F156" i="8"/>
  <c r="F49" i="8"/>
  <c r="C15" i="8"/>
  <c r="F151" i="8"/>
  <c r="C205" i="8"/>
  <c r="C107" i="8"/>
  <c r="E309" i="8"/>
  <c r="F305" i="8"/>
  <c r="C287" i="8"/>
  <c r="C181" i="8"/>
  <c r="E65" i="8"/>
  <c r="E25" i="8"/>
  <c r="C305" i="8"/>
  <c r="F19" i="8"/>
  <c r="C252" i="8"/>
  <c r="F177" i="8"/>
  <c r="F82" i="8"/>
  <c r="F199" i="8"/>
  <c r="F353" i="8"/>
  <c r="C347" i="8"/>
  <c r="E331" i="8"/>
  <c r="F271" i="8"/>
  <c r="C301" i="8"/>
  <c r="F87" i="8"/>
  <c r="C26" i="8"/>
  <c r="F92" i="8"/>
  <c r="C228" i="8"/>
  <c r="E114" i="8"/>
  <c r="E181" i="8"/>
  <c r="E79" i="8"/>
  <c r="E179" i="8"/>
  <c r="E328" i="8"/>
  <c r="E321" i="8"/>
  <c r="E314" i="8"/>
  <c r="F159" i="8"/>
  <c r="F268" i="8"/>
  <c r="F110" i="8"/>
  <c r="K7" i="8"/>
  <c r="E76" i="8"/>
  <c r="F21" i="8"/>
  <c r="E293" i="8"/>
  <c r="E258" i="8"/>
  <c r="E222" i="8"/>
  <c r="F112" i="8"/>
  <c r="F157" i="8"/>
  <c r="C36" i="8"/>
  <c r="E23" i="8"/>
  <c r="E148" i="8"/>
  <c r="E125" i="8"/>
  <c r="E335" i="8"/>
  <c r="E267" i="8"/>
  <c r="F315" i="8"/>
  <c r="F173" i="8"/>
  <c r="C116" i="8"/>
  <c r="C173" i="8"/>
  <c r="F343" i="8"/>
  <c r="F75" i="8"/>
  <c r="C342" i="8"/>
  <c r="C274" i="8"/>
  <c r="C209" i="8"/>
  <c r="F90" i="8"/>
  <c r="E44" i="8"/>
  <c r="E77" i="8"/>
  <c r="E319" i="8"/>
  <c r="E339" i="8"/>
  <c r="F164" i="8"/>
  <c r="F309" i="8"/>
  <c r="F357" i="8"/>
  <c r="F25" i="8"/>
  <c r="C346" i="8"/>
  <c r="C331" i="8"/>
  <c r="C311" i="8"/>
  <c r="C307" i="8"/>
  <c r="K9" i="8"/>
  <c r="E144" i="8"/>
  <c r="E177" i="8"/>
  <c r="E138" i="8"/>
  <c r="F119" i="8"/>
  <c r="F264" i="8"/>
  <c r="F356" i="8"/>
  <c r="C60" i="8"/>
  <c r="F328" i="8"/>
  <c r="F187" i="8"/>
  <c r="E306" i="8"/>
  <c r="E253" i="8"/>
  <c r="E228" i="8"/>
  <c r="E55" i="8"/>
  <c r="F352" i="8"/>
  <c r="F336" i="8"/>
  <c r="F227" i="8"/>
  <c r="E62" i="8"/>
  <c r="E239" i="8"/>
  <c r="E101" i="8"/>
  <c r="E108" i="8"/>
  <c r="F230" i="8"/>
  <c r="F281" i="8"/>
  <c r="F140" i="8"/>
  <c r="E307" i="8"/>
  <c r="E295" i="8"/>
  <c r="F69" i="8"/>
  <c r="E48" i="8"/>
  <c r="E159" i="8"/>
  <c r="E102" i="8"/>
  <c r="F327" i="8"/>
  <c r="E27" i="8"/>
  <c r="C294" i="8"/>
  <c r="C95" i="8"/>
  <c r="F245" i="8"/>
  <c r="C103" i="8"/>
  <c r="F101" i="8"/>
  <c r="C241" i="8"/>
  <c r="C87" i="8"/>
  <c r="F111" i="8"/>
  <c r="C350" i="8"/>
  <c r="C220" i="8"/>
  <c r="F16" i="8"/>
  <c r="C291" i="8"/>
  <c r="F360" i="8"/>
  <c r="E342" i="8"/>
  <c r="E3" i="8"/>
  <c r="C262" i="8"/>
  <c r="C216" i="8"/>
  <c r="E170" i="8"/>
  <c r="F66" i="8"/>
  <c r="F294" i="8"/>
  <c r="E182" i="8"/>
  <c r="C246" i="8"/>
  <c r="F229" i="8"/>
  <c r="E113" i="8"/>
  <c r="C10" i="8"/>
  <c r="C45" i="8"/>
  <c r="E40" i="8"/>
  <c r="E82" i="8"/>
  <c r="C100" i="8"/>
  <c r="F312" i="8"/>
  <c r="F115" i="8"/>
  <c r="E230" i="8"/>
  <c r="E37" i="8"/>
  <c r="E143" i="8"/>
  <c r="E2" i="8"/>
  <c r="F258" i="8"/>
  <c r="F330" i="8"/>
  <c r="C27" i="8"/>
  <c r="C54" i="8"/>
  <c r="C130" i="8"/>
  <c r="C20" i="8"/>
  <c r="F288" i="8"/>
  <c r="F147" i="8"/>
  <c r="E226" i="8"/>
  <c r="E213" i="8"/>
  <c r="E188" i="8"/>
  <c r="C13" i="8"/>
  <c r="F254" i="8"/>
  <c r="F304" i="8"/>
  <c r="F195" i="8"/>
  <c r="E270" i="8"/>
  <c r="E166" i="8"/>
  <c r="E49" i="8"/>
  <c r="F24" i="8"/>
  <c r="C200" i="8"/>
  <c r="F217" i="8"/>
  <c r="F319" i="8"/>
  <c r="E174" i="8"/>
  <c r="E150" i="8"/>
  <c r="E21" i="8"/>
  <c r="E147" i="8"/>
  <c r="E28" i="8"/>
  <c r="E271" i="8"/>
  <c r="F136" i="8"/>
  <c r="E260" i="8"/>
  <c r="C37" i="8"/>
  <c r="E9" i="8"/>
  <c r="C289" i="8"/>
  <c r="C185" i="8"/>
  <c r="C148" i="8"/>
  <c r="C244" i="8"/>
  <c r="C33" i="8"/>
  <c r="E176" i="8"/>
  <c r="C187" i="8"/>
  <c r="F325" i="8"/>
  <c r="C219" i="8"/>
  <c r="C117" i="8"/>
  <c r="F273" i="8"/>
  <c r="E202" i="8"/>
  <c r="F93" i="8"/>
  <c r="C163" i="8"/>
  <c r="C132" i="8"/>
  <c r="E320" i="8"/>
  <c r="C320" i="8"/>
  <c r="F222" i="8"/>
  <c r="E297" i="8"/>
  <c r="C271" i="8"/>
  <c r="F145" i="8"/>
  <c r="E41" i="8"/>
  <c r="C145" i="8"/>
  <c r="F210" i="8"/>
  <c r="C151" i="8"/>
  <c r="F60" i="8"/>
  <c r="C310" i="8"/>
  <c r="C24" i="8"/>
  <c r="F54" i="8"/>
  <c r="E13" i="8"/>
  <c r="C3" i="8"/>
  <c r="F279" i="8"/>
  <c r="F161" i="8"/>
  <c r="E141" i="8"/>
  <c r="C201" i="8"/>
  <c r="C337" i="8"/>
  <c r="F324" i="8"/>
  <c r="E137" i="8"/>
  <c r="F278" i="8"/>
  <c r="C50" i="8"/>
  <c r="E275" i="8"/>
  <c r="E67" i="8"/>
  <c r="C49" i="8"/>
  <c r="F359" i="8"/>
  <c r="F158" i="8"/>
  <c r="E105" i="8"/>
  <c r="F105" i="8"/>
  <c r="C272" i="8"/>
  <c r="F196" i="8"/>
  <c r="F192" i="8"/>
  <c r="E208" i="8"/>
  <c r="E26" i="8"/>
  <c r="F152" i="8"/>
  <c r="C96" i="8"/>
  <c r="F33" i="8"/>
  <c r="C134" i="8"/>
  <c r="C343" i="8"/>
  <c r="C2" i="8"/>
  <c r="O8" i="8" s="1"/>
  <c r="R8" i="8" s="1"/>
  <c r="C46" i="8"/>
  <c r="E163" i="8"/>
  <c r="E285" i="8"/>
  <c r="F143" i="8"/>
  <c r="F293" i="8"/>
  <c r="C199" i="8"/>
  <c r="C340" i="8"/>
  <c r="C97" i="8"/>
  <c r="E220" i="8"/>
  <c r="E90" i="8"/>
  <c r="F180" i="8"/>
  <c r="C128" i="8"/>
  <c r="F57" i="8"/>
  <c r="C155" i="8"/>
  <c r="C354" i="8"/>
  <c r="E68" i="8"/>
  <c r="E191" i="8"/>
  <c r="F251" i="8"/>
  <c r="F270" i="8"/>
  <c r="C281" i="8"/>
  <c r="F182" i="8"/>
  <c r="C222" i="8"/>
  <c r="F13" i="8"/>
  <c r="E248" i="8"/>
  <c r="E352" i="8"/>
  <c r="E279" i="8"/>
  <c r="C164" i="8"/>
  <c r="C198" i="8"/>
  <c r="C4" i="8"/>
  <c r="C189" i="8"/>
  <c r="F100" i="8"/>
  <c r="C345" i="8"/>
  <c r="C300" i="8"/>
  <c r="E333" i="8"/>
  <c r="E249" i="8"/>
  <c r="C58" i="8"/>
  <c r="F284" i="8"/>
  <c r="C245" i="8"/>
  <c r="F193" i="8"/>
  <c r="F59" i="8"/>
  <c r="E157" i="8"/>
  <c r="C69" i="8"/>
  <c r="E153" i="8"/>
  <c r="E210" i="8"/>
  <c r="C158" i="8"/>
  <c r="F102" i="8"/>
  <c r="C239" i="8"/>
  <c r="E337" i="8"/>
  <c r="E142" i="8"/>
  <c r="E241" i="8"/>
  <c r="E80" i="8"/>
  <c r="E24" i="8"/>
  <c r="E264" i="8"/>
  <c r="E161" i="8"/>
  <c r="E231" i="8"/>
  <c r="E360" i="8"/>
  <c r="C94" i="8"/>
  <c r="F108" i="8"/>
  <c r="F121" i="8"/>
  <c r="F238" i="8"/>
  <c r="C232" i="8"/>
  <c r="E119" i="8"/>
  <c r="E172" i="8"/>
  <c r="E73" i="8"/>
  <c r="E325" i="8"/>
  <c r="E194" i="8"/>
  <c r="E315" i="8"/>
  <c r="F259" i="8"/>
  <c r="F272" i="8"/>
  <c r="F285" i="8"/>
  <c r="C140" i="8"/>
  <c r="E50" i="8"/>
  <c r="E247" i="8"/>
  <c r="E292" i="8"/>
  <c r="E282" i="8"/>
  <c r="F228" i="8"/>
  <c r="C180" i="8"/>
  <c r="F234" i="8"/>
  <c r="C227" i="8"/>
  <c r="F138" i="8"/>
  <c r="F96" i="8"/>
  <c r="C159" i="8"/>
  <c r="F40" i="8"/>
  <c r="E118" i="8"/>
  <c r="F239" i="8"/>
  <c r="F206" i="8"/>
  <c r="C269" i="8"/>
  <c r="F98" i="8"/>
  <c r="C334" i="8"/>
  <c r="E308" i="8"/>
  <c r="E330" i="8"/>
  <c r="F252" i="8"/>
  <c r="C192" i="8"/>
  <c r="F350" i="8"/>
  <c r="C251" i="8"/>
  <c r="F198" i="8"/>
  <c r="E156" i="8"/>
  <c r="E359" i="8"/>
  <c r="F339" i="8"/>
  <c r="C56" i="8"/>
  <c r="C341" i="8"/>
  <c r="C63" i="8"/>
  <c r="C295" i="8"/>
  <c r="F4" i="8"/>
  <c r="E324" i="8"/>
  <c r="E323" i="8"/>
  <c r="E130" i="8"/>
  <c r="C23" i="8"/>
  <c r="F23" i="8"/>
  <c r="E69" i="8"/>
  <c r="F178" i="8"/>
  <c r="E16" i="8"/>
  <c r="F276" i="8"/>
  <c r="C19" i="8"/>
  <c r="F282" i="8"/>
  <c r="E10" i="8"/>
  <c r="E206" i="8"/>
  <c r="C123" i="8"/>
  <c r="E145" i="8"/>
  <c r="C76" i="8"/>
  <c r="F148" i="8"/>
  <c r="C111" i="8"/>
  <c r="F36" i="8"/>
  <c r="E185" i="8"/>
  <c r="C165" i="8"/>
  <c r="E107" i="8"/>
  <c r="E47" i="8"/>
  <c r="E189" i="8"/>
  <c r="F50" i="8"/>
  <c r="F205" i="8"/>
  <c r="C125" i="8"/>
  <c r="C266" i="8"/>
  <c r="F246" i="8"/>
  <c r="C238" i="8"/>
  <c r="C86" i="8"/>
  <c r="F22" i="8"/>
  <c r="E304" i="8"/>
  <c r="E298" i="8"/>
  <c r="F232" i="8"/>
  <c r="C188" i="8"/>
  <c r="F262" i="8"/>
  <c r="C315" i="8"/>
  <c r="E75" i="8"/>
  <c r="E205" i="8"/>
  <c r="E294" i="8"/>
  <c r="F233" i="8"/>
  <c r="C141" i="8"/>
  <c r="C282" i="8"/>
  <c r="F306" i="8"/>
  <c r="C270" i="8"/>
  <c r="E61" i="8"/>
  <c r="E78" i="8"/>
  <c r="F340" i="8"/>
  <c r="F314" i="8"/>
  <c r="C105" i="8"/>
  <c r="C326" i="8"/>
  <c r="C74" i="8"/>
  <c r="E91" i="8"/>
  <c r="E329" i="8"/>
  <c r="E123" i="8"/>
  <c r="F212" i="8"/>
  <c r="F150" i="8"/>
  <c r="F78" i="8"/>
  <c r="F129" i="8"/>
  <c r="F28" i="8"/>
  <c r="E265" i="8"/>
  <c r="C72" i="8"/>
  <c r="C70" i="8"/>
  <c r="F88" i="8"/>
  <c r="F128" i="8"/>
  <c r="C16" i="8"/>
  <c r="C235" i="8"/>
  <c r="C230" i="8"/>
  <c r="C304" i="8"/>
  <c r="E280" i="8"/>
  <c r="F337" i="8"/>
  <c r="C25" i="8"/>
  <c r="F333" i="8"/>
  <c r="C314" i="8"/>
  <c r="C358" i="8"/>
  <c r="F51" i="8"/>
  <c r="C338" i="8"/>
  <c r="F318" i="8"/>
  <c r="F183" i="8"/>
  <c r="E178" i="8"/>
  <c r="E5" i="8"/>
  <c r="E15" i="8"/>
  <c r="E83" i="8"/>
  <c r="E136" i="8"/>
  <c r="E45" i="8"/>
  <c r="E289" i="8"/>
  <c r="E58" i="8"/>
  <c r="E243" i="8"/>
  <c r="F223" i="8"/>
  <c r="F236" i="8"/>
  <c r="F249" i="8"/>
  <c r="C104" i="8"/>
  <c r="E11" i="8"/>
  <c r="E52" i="8"/>
  <c r="C139" i="8"/>
  <c r="C308" i="8"/>
  <c r="F62" i="8"/>
  <c r="E139" i="8"/>
  <c r="E277" i="8"/>
  <c r="F139" i="8"/>
  <c r="F289" i="8"/>
  <c r="C194" i="8"/>
  <c r="C335" i="8"/>
  <c r="C65" i="8"/>
  <c r="C318" i="8"/>
  <c r="K4" i="8"/>
  <c r="F71" i="8"/>
  <c r="C226" i="8"/>
  <c r="F256" i="8"/>
  <c r="E233" i="8"/>
  <c r="C53" i="8"/>
  <c r="C356" i="8"/>
  <c r="C40" i="8"/>
  <c r="E283" i="8"/>
  <c r="F56" i="8"/>
  <c r="C142" i="8"/>
  <c r="F274" i="8"/>
  <c r="E146" i="8"/>
  <c r="E216" i="8"/>
  <c r="C284" i="8"/>
  <c r="C279" i="8"/>
  <c r="C313" i="8"/>
  <c r="F303" i="8"/>
  <c r="E116" i="8"/>
  <c r="F241" i="8"/>
  <c r="F80" i="8"/>
  <c r="C260" i="8"/>
  <c r="F351" i="8"/>
  <c r="E112" i="8"/>
  <c r="F52" i="8"/>
  <c r="H46" i="2"/>
  <c r="F16" i="9"/>
  <c r="C102" i="8"/>
  <c r="G16" i="9"/>
  <c r="I46" i="2"/>
  <c r="P17" i="8"/>
  <c r="B17" i="12"/>
  <c r="J38" i="1"/>
  <c r="C17" i="12"/>
  <c r="N17" i="12"/>
  <c r="G17" i="12"/>
  <c r="P17" i="12"/>
  <c r="E17" i="12"/>
  <c r="L17" i="12"/>
  <c r="J17" i="12"/>
  <c r="D17" i="12"/>
  <c r="H17" i="12"/>
  <c r="I17" i="12"/>
  <c r="F17" i="12"/>
  <c r="K17" i="12"/>
  <c r="A17" i="12" s="1"/>
  <c r="M17" i="12"/>
  <c r="E43" i="8"/>
  <c r="C327" i="8"/>
  <c r="C5" i="8"/>
  <c r="C224" i="8"/>
  <c r="C109" i="8"/>
  <c r="C306" i="8"/>
  <c r="U5" i="8"/>
  <c r="T5" i="8"/>
  <c r="K5" i="8" s="1"/>
  <c r="B16" i="12"/>
  <c r="J37" i="1"/>
  <c r="S3" i="8"/>
  <c r="E16" i="9"/>
  <c r="G46" i="2"/>
  <c r="B15" i="12"/>
  <c r="J36" i="1"/>
  <c r="Q34" i="1"/>
  <c r="Q33" i="1"/>
  <c r="N34" i="1"/>
  <c r="O35" i="1"/>
  <c r="P35" i="1" s="1"/>
  <c r="G35" i="1" s="1"/>
  <c r="L5" i="6"/>
  <c r="L3" i="6"/>
  <c r="L9" i="6"/>
  <c r="L10" i="6"/>
  <c r="L7" i="6"/>
  <c r="D2" i="6"/>
  <c r="L11" i="6"/>
  <c r="L8" i="6"/>
  <c r="L4" i="6"/>
  <c r="I11" i="12" l="1"/>
  <c r="B8" i="12" s="1"/>
  <c r="U11" i="8"/>
  <c r="T12" i="8"/>
  <c r="T10" i="8"/>
  <c r="U9" i="8"/>
  <c r="U10" i="8"/>
  <c r="U12" i="8"/>
  <c r="U13" i="8"/>
  <c r="T13" i="8"/>
  <c r="K11" i="8"/>
  <c r="K13" i="8"/>
  <c r="O7" i="8"/>
  <c r="R7" i="8" s="1"/>
  <c r="A2" i="8"/>
  <c r="D2" i="8" s="1"/>
  <c r="H2" i="8" s="1"/>
  <c r="O6" i="8"/>
  <c r="R6" i="8" s="1"/>
  <c r="O2" i="8"/>
  <c r="R2" i="8" s="1"/>
  <c r="O3" i="8"/>
  <c r="R3" i="8" s="1"/>
  <c r="O4" i="8"/>
  <c r="R4" i="8" s="1"/>
  <c r="O5" i="8"/>
  <c r="R5" i="8" s="1"/>
  <c r="D46" i="2"/>
  <c r="D10" i="2" s="1"/>
  <c r="B4" i="12" s="1"/>
  <c r="U3" i="8"/>
  <c r="T3" i="8"/>
  <c r="K3" i="8" s="1"/>
  <c r="U2" i="8"/>
  <c r="Q32" i="1"/>
  <c r="E31" i="1" s="1"/>
  <c r="H7" i="2" s="1"/>
  <c r="B14" i="12"/>
  <c r="J35" i="1"/>
  <c r="A3" i="8" l="1"/>
  <c r="A4" i="8" s="1"/>
  <c r="O14" i="8"/>
  <c r="R14" i="8" s="1"/>
  <c r="I47" i="1"/>
  <c r="T13" i="9"/>
  <c r="D3" i="8" l="1"/>
  <c r="H3" i="8" s="1"/>
  <c r="A5" i="8"/>
  <c r="D4" i="8"/>
  <c r="H4" i="8" s="1"/>
  <c r="I49" i="1"/>
  <c r="V13" i="9"/>
  <c r="A6" i="8" l="1"/>
  <c r="D5" i="8"/>
  <c r="H5" i="8" s="1"/>
  <c r="D6" i="8" l="1"/>
  <c r="H6" i="8" s="1"/>
  <c r="A7" i="8"/>
  <c r="D7" i="8" l="1"/>
  <c r="H7" i="8" s="1"/>
  <c r="A8" i="8"/>
  <c r="A9" i="8" l="1"/>
  <c r="D8" i="8"/>
  <c r="H8" i="8" s="1"/>
  <c r="A10" i="8" l="1"/>
  <c r="D9" i="8"/>
  <c r="H9" i="8" s="1"/>
  <c r="D10" i="8" l="1"/>
  <c r="H10" i="8" s="1"/>
  <c r="A11" i="8"/>
  <c r="A12" i="8" l="1"/>
  <c r="D11" i="8"/>
  <c r="H11" i="8" s="1"/>
  <c r="A13" i="8" l="1"/>
  <c r="D12" i="8"/>
  <c r="H12" i="8" s="1"/>
  <c r="D13" i="8" l="1"/>
  <c r="H13" i="8" s="1"/>
  <c r="A14" i="8"/>
  <c r="A15" i="8" l="1"/>
  <c r="D14" i="8"/>
  <c r="H14" i="8" s="1"/>
  <c r="D15" i="8" l="1"/>
  <c r="H15" i="8" s="1"/>
  <c r="A16" i="8"/>
  <c r="A17" i="8" l="1"/>
  <c r="D16" i="8"/>
  <c r="H16" i="8" s="1"/>
  <c r="A18" i="8" l="1"/>
  <c r="D17" i="8"/>
  <c r="H17" i="8" s="1"/>
  <c r="D18" i="8" l="1"/>
  <c r="H18" i="8" s="1"/>
  <c r="A19" i="8"/>
  <c r="A20" i="8" l="1"/>
  <c r="D19" i="8"/>
  <c r="H19" i="8" s="1"/>
  <c r="A21" i="8" l="1"/>
  <c r="D20" i="8"/>
  <c r="H20" i="8" s="1"/>
  <c r="A22" i="8" l="1"/>
  <c r="D21" i="8"/>
  <c r="H21" i="8" s="1"/>
  <c r="D22" i="8" l="1"/>
  <c r="H22" i="8" s="1"/>
  <c r="A23" i="8"/>
  <c r="A24" i="8" l="1"/>
  <c r="D23" i="8"/>
  <c r="H23" i="8" s="1"/>
  <c r="D24" i="8" l="1"/>
  <c r="H24" i="8" s="1"/>
  <c r="A25" i="8"/>
  <c r="D25" i="8" l="1"/>
  <c r="H25" i="8" s="1"/>
  <c r="A26" i="8"/>
  <c r="D26" i="8" l="1"/>
  <c r="H26" i="8" s="1"/>
  <c r="A27" i="8"/>
  <c r="A28" i="8" l="1"/>
  <c r="D27" i="8"/>
  <c r="H27" i="8" s="1"/>
  <c r="A29" i="8" l="1"/>
  <c r="D28" i="8"/>
  <c r="H28" i="8" s="1"/>
  <c r="D29" i="8" l="1"/>
  <c r="H29" i="8" s="1"/>
  <c r="A30" i="8"/>
  <c r="A31" i="8" l="1"/>
  <c r="D30" i="8"/>
  <c r="H30" i="8" s="1"/>
  <c r="D31" i="8" l="1"/>
  <c r="H31" i="8" s="1"/>
  <c r="A32" i="8"/>
  <c r="D32" i="8" l="1"/>
  <c r="H32" i="8" s="1"/>
  <c r="A33" i="8"/>
  <c r="D33" i="8" l="1"/>
  <c r="H33" i="8" s="1"/>
  <c r="A34" i="8"/>
  <c r="D34" i="8" l="1"/>
  <c r="H34" i="8" s="1"/>
  <c r="A35" i="8"/>
  <c r="A36" i="8" l="1"/>
  <c r="D35" i="8"/>
  <c r="H35" i="8" s="1"/>
  <c r="D36" i="8" l="1"/>
  <c r="H36" i="8" s="1"/>
  <c r="A37" i="8"/>
  <c r="A38" i="8" l="1"/>
  <c r="D37" i="8"/>
  <c r="H37" i="8" s="1"/>
  <c r="D38" i="8" l="1"/>
  <c r="H38" i="8" s="1"/>
  <c r="A39" i="8"/>
  <c r="A40" i="8" l="1"/>
  <c r="D39" i="8"/>
  <c r="H39" i="8" s="1"/>
  <c r="A41" i="8" l="1"/>
  <c r="D40" i="8"/>
  <c r="H40" i="8" s="1"/>
  <c r="D41" i="8" l="1"/>
  <c r="H41" i="8" s="1"/>
  <c r="A42" i="8"/>
  <c r="A43" i="8" l="1"/>
  <c r="D42" i="8"/>
  <c r="H42" i="8" s="1"/>
  <c r="D43" i="8" l="1"/>
  <c r="H43" i="8" s="1"/>
  <c r="A44" i="8"/>
  <c r="D44" i="8" l="1"/>
  <c r="H44" i="8" s="1"/>
  <c r="A45" i="8"/>
  <c r="A46" i="8" l="1"/>
  <c r="D45" i="8"/>
  <c r="H45" i="8" s="1"/>
  <c r="A47" i="8" l="1"/>
  <c r="D46" i="8"/>
  <c r="H46" i="8" s="1"/>
  <c r="D47" i="8" l="1"/>
  <c r="H47" i="8" s="1"/>
  <c r="A48" i="8"/>
  <c r="A49" i="8" l="1"/>
  <c r="D48" i="8"/>
  <c r="H48" i="8" s="1"/>
  <c r="D49" i="8" l="1"/>
  <c r="H49" i="8" s="1"/>
  <c r="A50" i="8"/>
  <c r="A51" i="8" l="1"/>
  <c r="D50" i="8"/>
  <c r="H50" i="8" s="1"/>
  <c r="A52" i="8" l="1"/>
  <c r="D51" i="8"/>
  <c r="H51" i="8" s="1"/>
  <c r="A53" i="8" l="1"/>
  <c r="D52" i="8"/>
  <c r="H52" i="8" s="1"/>
  <c r="A54" i="8" l="1"/>
  <c r="D53" i="8"/>
  <c r="H53" i="8" s="1"/>
  <c r="D54" i="8" l="1"/>
  <c r="H54" i="8" s="1"/>
  <c r="A55" i="8"/>
  <c r="D55" i="8" l="1"/>
  <c r="H55" i="8" s="1"/>
  <c r="A56" i="8"/>
  <c r="A57" i="8" l="1"/>
  <c r="D56" i="8"/>
  <c r="H56" i="8" s="1"/>
  <c r="A58" i="8" l="1"/>
  <c r="D57" i="8"/>
  <c r="H57" i="8" s="1"/>
  <c r="D58" i="8" l="1"/>
  <c r="H58" i="8" s="1"/>
  <c r="A59" i="8"/>
  <c r="A60" i="8" l="1"/>
  <c r="D59" i="8"/>
  <c r="H59" i="8" s="1"/>
  <c r="A61" i="8" l="1"/>
  <c r="D60" i="8"/>
  <c r="H60" i="8" s="1"/>
  <c r="D61" i="8" l="1"/>
  <c r="H61" i="8" s="1"/>
  <c r="A62" i="8"/>
  <c r="A63" i="8" l="1"/>
  <c r="D62" i="8"/>
  <c r="H62" i="8" s="1"/>
  <c r="D63" i="8" l="1"/>
  <c r="H63" i="8" s="1"/>
  <c r="A64" i="8"/>
  <c r="A65" i="8" l="1"/>
  <c r="D64" i="8"/>
  <c r="H64" i="8" s="1"/>
  <c r="D65" i="8" l="1"/>
  <c r="H65" i="8" s="1"/>
  <c r="A66" i="8"/>
  <c r="A67" i="8" l="1"/>
  <c r="D66" i="8"/>
  <c r="H66" i="8" s="1"/>
  <c r="D67" i="8" l="1"/>
  <c r="H67" i="8" s="1"/>
  <c r="A68" i="8"/>
  <c r="A69" i="8" l="1"/>
  <c r="D68" i="8"/>
  <c r="H68" i="8" s="1"/>
  <c r="D69" i="8" l="1"/>
  <c r="H69" i="8" s="1"/>
  <c r="A70" i="8"/>
  <c r="A71" i="8" l="1"/>
  <c r="D70" i="8"/>
  <c r="H70" i="8" s="1"/>
  <c r="A72" i="8" l="1"/>
  <c r="D71" i="8"/>
  <c r="H71" i="8" s="1"/>
  <c r="D72" i="8" l="1"/>
  <c r="H72" i="8" s="1"/>
  <c r="A73" i="8"/>
  <c r="D73" i="8" l="1"/>
  <c r="H73" i="8" s="1"/>
  <c r="A74" i="8"/>
  <c r="A75" i="8" l="1"/>
  <c r="D74" i="8"/>
  <c r="H74" i="8" s="1"/>
  <c r="A76" i="8" l="1"/>
  <c r="D75" i="8"/>
  <c r="H75" i="8" s="1"/>
  <c r="D76" i="8" l="1"/>
  <c r="H76" i="8" s="1"/>
  <c r="A77" i="8"/>
  <c r="D77" i="8" l="1"/>
  <c r="H77" i="8" s="1"/>
  <c r="A78" i="8"/>
  <c r="D78" i="8" l="1"/>
  <c r="H78" i="8" s="1"/>
  <c r="A79" i="8"/>
  <c r="A80" i="8" l="1"/>
  <c r="D79" i="8"/>
  <c r="H79" i="8" s="1"/>
  <c r="D80" i="8" l="1"/>
  <c r="H80" i="8" s="1"/>
  <c r="A81" i="8"/>
  <c r="A82" i="8" l="1"/>
  <c r="D81" i="8"/>
  <c r="H81" i="8" s="1"/>
  <c r="D82" i="8" l="1"/>
  <c r="H82" i="8" s="1"/>
  <c r="A83" i="8"/>
  <c r="A84" i="8" l="1"/>
  <c r="D83" i="8"/>
  <c r="H83" i="8" s="1"/>
  <c r="A85" i="8" l="1"/>
  <c r="D84" i="8"/>
  <c r="H84" i="8" s="1"/>
  <c r="D85" i="8" l="1"/>
  <c r="H85" i="8" s="1"/>
  <c r="A86" i="8"/>
  <c r="D86" i="8" l="1"/>
  <c r="H86" i="8" s="1"/>
  <c r="A87" i="8"/>
  <c r="D87" i="8" l="1"/>
  <c r="H87" i="8" s="1"/>
  <c r="A88" i="8"/>
  <c r="D88" i="8" l="1"/>
  <c r="H88" i="8" s="1"/>
  <c r="A89" i="8"/>
  <c r="A90" i="8" l="1"/>
  <c r="D89" i="8"/>
  <c r="H89" i="8" s="1"/>
  <c r="D90" i="8" l="1"/>
  <c r="H90" i="8" s="1"/>
  <c r="A91" i="8"/>
  <c r="A92" i="8" l="1"/>
  <c r="D91" i="8"/>
  <c r="H91" i="8" s="1"/>
  <c r="A93" i="8" l="1"/>
  <c r="D92" i="8"/>
  <c r="H92" i="8" s="1"/>
  <c r="A94" i="8" l="1"/>
  <c r="D93" i="8"/>
  <c r="H93" i="8" s="1"/>
  <c r="A95" i="8" l="1"/>
  <c r="D94" i="8"/>
  <c r="H94" i="8" s="1"/>
  <c r="D95" i="8" l="1"/>
  <c r="H95" i="8" s="1"/>
  <c r="A96" i="8"/>
  <c r="D96" i="8" l="1"/>
  <c r="H96" i="8" s="1"/>
  <c r="A97" i="8"/>
  <c r="D97" i="8" l="1"/>
  <c r="H97" i="8" s="1"/>
  <c r="A98" i="8"/>
  <c r="D98" i="8" l="1"/>
  <c r="H98" i="8" s="1"/>
  <c r="A99" i="8"/>
  <c r="D99" i="8" l="1"/>
  <c r="H99" i="8" s="1"/>
  <c r="A100" i="8"/>
  <c r="D100" i="8" l="1"/>
  <c r="H100" i="8" s="1"/>
  <c r="A101" i="8"/>
  <c r="D101" i="8" l="1"/>
  <c r="H101" i="8" s="1"/>
  <c r="A102" i="8"/>
  <c r="A103" i="8" l="1"/>
  <c r="D102" i="8"/>
  <c r="H102" i="8" s="1"/>
  <c r="A104" i="8" l="1"/>
  <c r="D103" i="8"/>
  <c r="H103" i="8" s="1"/>
  <c r="A105" i="8" l="1"/>
  <c r="D104" i="8"/>
  <c r="H104" i="8" s="1"/>
  <c r="D105" i="8" l="1"/>
  <c r="H105" i="8" s="1"/>
  <c r="A106" i="8"/>
  <c r="A107" i="8" l="1"/>
  <c r="D106" i="8"/>
  <c r="H106" i="8" s="1"/>
  <c r="D107" i="8" l="1"/>
  <c r="H107" i="8" s="1"/>
  <c r="A108" i="8"/>
  <c r="A109" i="8" l="1"/>
  <c r="D108" i="8"/>
  <c r="H108" i="8" s="1"/>
  <c r="D109" i="8" l="1"/>
  <c r="H109" i="8" s="1"/>
  <c r="A110" i="8"/>
  <c r="D110" i="8" l="1"/>
  <c r="H110" i="8" s="1"/>
  <c r="A111" i="8"/>
  <c r="A112" i="8" l="1"/>
  <c r="D111" i="8"/>
  <c r="H111" i="8" s="1"/>
  <c r="D112" i="8" l="1"/>
  <c r="H112" i="8" s="1"/>
  <c r="A113" i="8"/>
  <c r="A114" i="8" l="1"/>
  <c r="D113" i="8"/>
  <c r="H113" i="8" s="1"/>
  <c r="D114" i="8" l="1"/>
  <c r="H114" i="8" s="1"/>
  <c r="A115" i="8"/>
  <c r="D115" i="8" l="1"/>
  <c r="H115" i="8" s="1"/>
  <c r="A116" i="8"/>
  <c r="A117" i="8" l="1"/>
  <c r="D116" i="8"/>
  <c r="H116" i="8" s="1"/>
  <c r="D117" i="8" l="1"/>
  <c r="H117" i="8" s="1"/>
  <c r="A118" i="8"/>
  <c r="D118" i="8" l="1"/>
  <c r="H118" i="8" s="1"/>
  <c r="A119" i="8"/>
  <c r="A120" i="8" l="1"/>
  <c r="D119" i="8"/>
  <c r="H119" i="8" s="1"/>
  <c r="D120" i="8" l="1"/>
  <c r="H120" i="8" s="1"/>
  <c r="A121" i="8"/>
  <c r="A122" i="8" l="1"/>
  <c r="D121" i="8"/>
  <c r="H121" i="8" s="1"/>
  <c r="A123" i="8" l="1"/>
  <c r="D122" i="8"/>
  <c r="H122" i="8" s="1"/>
  <c r="D123" i="8" l="1"/>
  <c r="H123" i="8" s="1"/>
  <c r="A124" i="8"/>
  <c r="A125" i="8" l="1"/>
  <c r="D124" i="8"/>
  <c r="H124" i="8" s="1"/>
  <c r="A126" i="8" l="1"/>
  <c r="D125" i="8"/>
  <c r="H125" i="8" s="1"/>
  <c r="A127" i="8" l="1"/>
  <c r="D126" i="8"/>
  <c r="H126" i="8" s="1"/>
  <c r="A128" i="8" l="1"/>
  <c r="D127" i="8"/>
  <c r="H127" i="8" s="1"/>
  <c r="A129" i="8" l="1"/>
  <c r="D128" i="8"/>
  <c r="H128" i="8" s="1"/>
  <c r="D129" i="8" l="1"/>
  <c r="H129" i="8" s="1"/>
  <c r="A130" i="8"/>
  <c r="A131" i="8" l="1"/>
  <c r="D130" i="8"/>
  <c r="H130" i="8" s="1"/>
  <c r="D131" i="8" l="1"/>
  <c r="H131" i="8" s="1"/>
  <c r="A132" i="8"/>
  <c r="D132" i="8" l="1"/>
  <c r="H132" i="8" s="1"/>
  <c r="A133" i="8"/>
  <c r="D133" i="8" l="1"/>
  <c r="H133" i="8" s="1"/>
  <c r="A134" i="8"/>
  <c r="D134" i="8" l="1"/>
  <c r="H134" i="8" s="1"/>
  <c r="A135" i="8"/>
  <c r="A136" i="8" l="1"/>
  <c r="D135" i="8"/>
  <c r="H135" i="8" s="1"/>
  <c r="A137" i="8" l="1"/>
  <c r="D136" i="8"/>
  <c r="H136" i="8" s="1"/>
  <c r="D137" i="8" l="1"/>
  <c r="H137" i="8" s="1"/>
  <c r="A138" i="8"/>
  <c r="D138" i="8" l="1"/>
  <c r="H138" i="8" s="1"/>
  <c r="A139" i="8"/>
  <c r="D139" i="8" l="1"/>
  <c r="H139" i="8" s="1"/>
  <c r="A140" i="8"/>
  <c r="D140" i="8" l="1"/>
  <c r="H140" i="8" s="1"/>
  <c r="A141" i="8"/>
  <c r="A142" i="8" l="1"/>
  <c r="D141" i="8"/>
  <c r="H141" i="8" s="1"/>
  <c r="D142" i="8" l="1"/>
  <c r="H142" i="8" s="1"/>
  <c r="A143" i="8"/>
  <c r="D143" i="8" l="1"/>
  <c r="H143" i="8" s="1"/>
  <c r="A144" i="8"/>
  <c r="D144" i="8" l="1"/>
  <c r="H144" i="8" s="1"/>
  <c r="A145" i="8"/>
  <c r="A146" i="8" l="1"/>
  <c r="D145" i="8"/>
  <c r="H145" i="8" s="1"/>
  <c r="D146" i="8" l="1"/>
  <c r="H146" i="8" s="1"/>
  <c r="A147" i="8"/>
  <c r="A148" i="8" l="1"/>
  <c r="D147" i="8"/>
  <c r="H147" i="8" s="1"/>
  <c r="A149" i="8" l="1"/>
  <c r="D148" i="8"/>
  <c r="H148" i="8" s="1"/>
  <c r="D149" i="8" l="1"/>
  <c r="H149" i="8" s="1"/>
  <c r="A150" i="8"/>
  <c r="D150" i="8" l="1"/>
  <c r="H150" i="8" s="1"/>
  <c r="A151" i="8"/>
  <c r="A152" i="8" l="1"/>
  <c r="D151" i="8"/>
  <c r="H151" i="8" s="1"/>
  <c r="A153" i="8" l="1"/>
  <c r="D152" i="8"/>
  <c r="H152" i="8" s="1"/>
  <c r="D153" i="8" l="1"/>
  <c r="H153" i="8" s="1"/>
  <c r="A154" i="8"/>
  <c r="D154" i="8" l="1"/>
  <c r="H154" i="8" s="1"/>
  <c r="A155" i="8"/>
  <c r="D155" i="8" l="1"/>
  <c r="H155" i="8" s="1"/>
  <c r="A156" i="8"/>
  <c r="A157" i="8" l="1"/>
  <c r="D156" i="8"/>
  <c r="H156" i="8" s="1"/>
  <c r="A158" i="8" l="1"/>
  <c r="D157" i="8"/>
  <c r="H157" i="8" s="1"/>
  <c r="A159" i="8" l="1"/>
  <c r="D158" i="8"/>
  <c r="H158" i="8" s="1"/>
  <c r="D159" i="8" l="1"/>
  <c r="H159" i="8" s="1"/>
  <c r="A160" i="8"/>
  <c r="A161" i="8" l="1"/>
  <c r="D160" i="8"/>
  <c r="H160" i="8" s="1"/>
  <c r="D161" i="8" l="1"/>
  <c r="H161" i="8" s="1"/>
  <c r="A162" i="8"/>
  <c r="A163" i="8" l="1"/>
  <c r="D162" i="8"/>
  <c r="H162" i="8" s="1"/>
  <c r="A164" i="8" l="1"/>
  <c r="D163" i="8"/>
  <c r="H163" i="8" s="1"/>
  <c r="A165" i="8" l="1"/>
  <c r="D164" i="8"/>
  <c r="H164" i="8" s="1"/>
  <c r="A166" i="8" l="1"/>
  <c r="D165" i="8"/>
  <c r="H165" i="8" s="1"/>
  <c r="D166" i="8" l="1"/>
  <c r="H166" i="8" s="1"/>
  <c r="A167" i="8"/>
  <c r="D167" i="8" l="1"/>
  <c r="H167" i="8" s="1"/>
  <c r="A168" i="8"/>
  <c r="A169" i="8" l="1"/>
  <c r="D168" i="8"/>
  <c r="H168" i="8" s="1"/>
  <c r="D169" i="8" l="1"/>
  <c r="H169" i="8" s="1"/>
  <c r="A170" i="8"/>
  <c r="D170" i="8" l="1"/>
  <c r="H170" i="8" s="1"/>
  <c r="A171" i="8"/>
  <c r="D171" i="8" l="1"/>
  <c r="H171" i="8" s="1"/>
  <c r="A172" i="8"/>
  <c r="A173" i="8" l="1"/>
  <c r="D172" i="8"/>
  <c r="H172" i="8" s="1"/>
  <c r="D173" i="8" l="1"/>
  <c r="H173" i="8" s="1"/>
  <c r="A174" i="8"/>
  <c r="A175" i="8" l="1"/>
  <c r="D174" i="8"/>
  <c r="H174" i="8" s="1"/>
  <c r="A176" i="8" l="1"/>
  <c r="D175" i="8"/>
  <c r="H175" i="8" s="1"/>
  <c r="A177" i="8" l="1"/>
  <c r="D176" i="8"/>
  <c r="H176" i="8" s="1"/>
  <c r="D177" i="8" l="1"/>
  <c r="H177" i="8" s="1"/>
  <c r="A178" i="8"/>
  <c r="D178" i="8" l="1"/>
  <c r="H178" i="8" s="1"/>
  <c r="A179" i="8"/>
  <c r="A180" i="8" l="1"/>
  <c r="D179" i="8"/>
  <c r="H179" i="8" s="1"/>
  <c r="A181" i="8" l="1"/>
  <c r="D180" i="8"/>
  <c r="H180" i="8" s="1"/>
  <c r="D181" i="8" l="1"/>
  <c r="H181" i="8" s="1"/>
  <c r="A182" i="8"/>
  <c r="A183" i="8" l="1"/>
  <c r="D182" i="8"/>
  <c r="H182" i="8" s="1"/>
  <c r="D183" i="8" l="1"/>
  <c r="H183" i="8" s="1"/>
  <c r="A184" i="8"/>
  <c r="D184" i="8" l="1"/>
  <c r="H184" i="8" s="1"/>
  <c r="A185" i="8"/>
  <c r="D185" i="8" l="1"/>
  <c r="H185" i="8" s="1"/>
  <c r="A186" i="8"/>
  <c r="D186" i="8" l="1"/>
  <c r="H186" i="8" s="1"/>
  <c r="A187" i="8"/>
  <c r="D187" i="8" l="1"/>
  <c r="H187" i="8" s="1"/>
  <c r="A188" i="8"/>
  <c r="D188" i="8" l="1"/>
  <c r="H188" i="8" s="1"/>
  <c r="A189" i="8"/>
  <c r="D189" i="8" l="1"/>
  <c r="H189" i="8" s="1"/>
  <c r="A190" i="8"/>
  <c r="D190" i="8" l="1"/>
  <c r="H190" i="8" s="1"/>
  <c r="A191" i="8"/>
  <c r="D191" i="8" l="1"/>
  <c r="H191" i="8" s="1"/>
  <c r="A192" i="8"/>
  <c r="D192" i="8" l="1"/>
  <c r="H192" i="8" s="1"/>
  <c r="A193" i="8"/>
  <c r="A194" i="8" l="1"/>
  <c r="D193" i="8"/>
  <c r="H193" i="8" s="1"/>
  <c r="D194" i="8" l="1"/>
  <c r="H194" i="8" s="1"/>
  <c r="A195" i="8"/>
  <c r="A196" i="8" l="1"/>
  <c r="D195" i="8"/>
  <c r="H195" i="8" s="1"/>
  <c r="D196" i="8" l="1"/>
  <c r="H196" i="8" s="1"/>
  <c r="A197" i="8"/>
  <c r="A198" i="8" l="1"/>
  <c r="D197" i="8"/>
  <c r="H197" i="8" s="1"/>
  <c r="A199" i="8" l="1"/>
  <c r="D198" i="8"/>
  <c r="H198" i="8" s="1"/>
  <c r="A200" i="8" l="1"/>
  <c r="D199" i="8"/>
  <c r="H199" i="8" s="1"/>
  <c r="D200" i="8" l="1"/>
  <c r="H200" i="8" s="1"/>
  <c r="A201" i="8"/>
  <c r="A202" i="8" l="1"/>
  <c r="D201" i="8"/>
  <c r="H201" i="8" s="1"/>
  <c r="A203" i="8" l="1"/>
  <c r="D202" i="8"/>
  <c r="H202" i="8" s="1"/>
  <c r="D203" i="8" l="1"/>
  <c r="H203" i="8" s="1"/>
  <c r="A204" i="8"/>
  <c r="D204" i="8" l="1"/>
  <c r="H204" i="8" s="1"/>
  <c r="A205" i="8"/>
  <c r="A206" i="8" l="1"/>
  <c r="D205" i="8"/>
  <c r="H205" i="8" s="1"/>
  <c r="A207" i="8" l="1"/>
  <c r="D206" i="8"/>
  <c r="H206" i="8" s="1"/>
  <c r="D207" i="8" l="1"/>
  <c r="H207" i="8" s="1"/>
  <c r="A208" i="8"/>
  <c r="D208" i="8" l="1"/>
  <c r="H208" i="8" s="1"/>
  <c r="A209" i="8"/>
  <c r="A210" i="8" l="1"/>
  <c r="D209" i="8"/>
  <c r="H209" i="8" s="1"/>
  <c r="A211" i="8" l="1"/>
  <c r="D210" i="8"/>
  <c r="H210" i="8" s="1"/>
  <c r="A212" i="8" l="1"/>
  <c r="D211" i="8"/>
  <c r="H211" i="8" s="1"/>
  <c r="A213" i="8" l="1"/>
  <c r="D212" i="8"/>
  <c r="H212" i="8" s="1"/>
  <c r="A214" i="8" l="1"/>
  <c r="D213" i="8"/>
  <c r="H213" i="8" s="1"/>
  <c r="A215" i="8" l="1"/>
  <c r="D214" i="8"/>
  <c r="H214" i="8" s="1"/>
  <c r="A216" i="8" l="1"/>
  <c r="D215" i="8"/>
  <c r="H215" i="8" s="1"/>
  <c r="A217" i="8" l="1"/>
  <c r="D216" i="8"/>
  <c r="H216" i="8" s="1"/>
  <c r="A218" i="8" l="1"/>
  <c r="D217" i="8"/>
  <c r="H217" i="8" s="1"/>
  <c r="D218" i="8" l="1"/>
  <c r="H218" i="8" s="1"/>
  <c r="A219" i="8"/>
  <c r="A220" i="8" l="1"/>
  <c r="D219" i="8"/>
  <c r="H219" i="8" s="1"/>
  <c r="A221" i="8" l="1"/>
  <c r="D220" i="8"/>
  <c r="H220" i="8" s="1"/>
  <c r="D221" i="8" l="1"/>
  <c r="H221" i="8" s="1"/>
  <c r="A222" i="8"/>
  <c r="D222" i="8" l="1"/>
  <c r="H222" i="8" s="1"/>
  <c r="A223" i="8"/>
  <c r="D223" i="8" l="1"/>
  <c r="H223" i="8" s="1"/>
  <c r="A224" i="8"/>
  <c r="D224" i="8" l="1"/>
  <c r="H224" i="8" s="1"/>
  <c r="A225" i="8"/>
  <c r="A226" i="8" l="1"/>
  <c r="D225" i="8"/>
  <c r="H225" i="8" s="1"/>
  <c r="D226" i="8" l="1"/>
  <c r="H226" i="8" s="1"/>
  <c r="A227" i="8"/>
  <c r="D227" i="8" l="1"/>
  <c r="H227" i="8" s="1"/>
  <c r="A228" i="8"/>
  <c r="A229" i="8" l="1"/>
  <c r="D228" i="8"/>
  <c r="H228" i="8" s="1"/>
  <c r="D229" i="8" l="1"/>
  <c r="H229" i="8" s="1"/>
  <c r="A230" i="8"/>
  <c r="A231" i="8" l="1"/>
  <c r="D230" i="8"/>
  <c r="H230" i="8" s="1"/>
  <c r="D231" i="8" l="1"/>
  <c r="H231" i="8" s="1"/>
  <c r="A232" i="8"/>
  <c r="D232" i="8" l="1"/>
  <c r="H232" i="8" s="1"/>
  <c r="A233" i="8"/>
  <c r="A234" i="8" l="1"/>
  <c r="D233" i="8"/>
  <c r="H233" i="8" s="1"/>
  <c r="D234" i="8" l="1"/>
  <c r="H234" i="8" s="1"/>
  <c r="A235" i="8"/>
  <c r="A236" i="8" l="1"/>
  <c r="D235" i="8"/>
  <c r="H235" i="8" s="1"/>
  <c r="A237" i="8" l="1"/>
  <c r="D236" i="8"/>
  <c r="H236" i="8" s="1"/>
  <c r="A238" i="8" l="1"/>
  <c r="D237" i="8"/>
  <c r="H237" i="8" s="1"/>
  <c r="D238" i="8" l="1"/>
  <c r="H238" i="8" s="1"/>
  <c r="A239" i="8"/>
  <c r="A240" i="8" l="1"/>
  <c r="D239" i="8"/>
  <c r="H239" i="8" s="1"/>
  <c r="A241" i="8" l="1"/>
  <c r="D240" i="8"/>
  <c r="H240" i="8" s="1"/>
  <c r="D241" i="8" l="1"/>
  <c r="H241" i="8" s="1"/>
  <c r="A242" i="8"/>
  <c r="A243" i="8" l="1"/>
  <c r="D242" i="8"/>
  <c r="H242" i="8" s="1"/>
  <c r="D243" i="8" l="1"/>
  <c r="H243" i="8" s="1"/>
  <c r="A244" i="8"/>
  <c r="A245" i="8" l="1"/>
  <c r="D244" i="8"/>
  <c r="H244" i="8" s="1"/>
  <c r="D245" i="8" l="1"/>
  <c r="H245" i="8" s="1"/>
  <c r="A246" i="8"/>
  <c r="D246" i="8" l="1"/>
  <c r="H246" i="8" s="1"/>
  <c r="A247" i="8"/>
  <c r="D247" i="8" l="1"/>
  <c r="H247" i="8" s="1"/>
  <c r="A248" i="8"/>
  <c r="D248" i="8" l="1"/>
  <c r="H248" i="8" s="1"/>
  <c r="A249" i="8"/>
  <c r="D249" i="8" l="1"/>
  <c r="H249" i="8" s="1"/>
  <c r="A250" i="8"/>
  <c r="A251" i="8" l="1"/>
  <c r="D250" i="8"/>
  <c r="H250" i="8" s="1"/>
  <c r="A252" i="8" l="1"/>
  <c r="D251" i="8"/>
  <c r="H251" i="8" s="1"/>
  <c r="A253" i="8" l="1"/>
  <c r="D252" i="8"/>
  <c r="H252" i="8" s="1"/>
  <c r="A254" i="8" l="1"/>
  <c r="D253" i="8"/>
  <c r="H253" i="8" s="1"/>
  <c r="A255" i="8" l="1"/>
  <c r="D254" i="8"/>
  <c r="H254" i="8" s="1"/>
  <c r="A256" i="8" l="1"/>
  <c r="D255" i="8"/>
  <c r="H255" i="8" s="1"/>
  <c r="A257" i="8" l="1"/>
  <c r="D256" i="8"/>
  <c r="H256" i="8" s="1"/>
  <c r="A258" i="8" l="1"/>
  <c r="D257" i="8"/>
  <c r="H257" i="8" s="1"/>
  <c r="A259" i="8" l="1"/>
  <c r="D258" i="8"/>
  <c r="H258" i="8" s="1"/>
  <c r="A260" i="8" l="1"/>
  <c r="D259" i="8"/>
  <c r="H259" i="8" s="1"/>
  <c r="D260" i="8" l="1"/>
  <c r="H260" i="8" s="1"/>
  <c r="A261" i="8"/>
  <c r="D261" i="8" l="1"/>
  <c r="H261" i="8" s="1"/>
  <c r="A262" i="8"/>
  <c r="A263" i="8" l="1"/>
  <c r="D262" i="8"/>
  <c r="H262" i="8" s="1"/>
  <c r="A264" i="8" l="1"/>
  <c r="D263" i="8"/>
  <c r="H263" i="8" s="1"/>
  <c r="D264" i="8" l="1"/>
  <c r="H264" i="8" s="1"/>
  <c r="A265" i="8"/>
  <c r="A266" i="8" l="1"/>
  <c r="D265" i="8"/>
  <c r="H265" i="8" s="1"/>
  <c r="D266" i="8" l="1"/>
  <c r="H266" i="8" s="1"/>
  <c r="A267" i="8"/>
  <c r="D267" i="8" l="1"/>
  <c r="H267" i="8" s="1"/>
  <c r="A268" i="8"/>
  <c r="D268" i="8" l="1"/>
  <c r="H268" i="8" s="1"/>
  <c r="A269" i="8"/>
  <c r="D269" i="8" l="1"/>
  <c r="H269" i="8" s="1"/>
  <c r="A270" i="8"/>
  <c r="D270" i="8" l="1"/>
  <c r="H270" i="8" s="1"/>
  <c r="A271" i="8"/>
  <c r="D271" i="8" l="1"/>
  <c r="H271" i="8" s="1"/>
  <c r="A272" i="8"/>
  <c r="D272" i="8" l="1"/>
  <c r="H272" i="8" s="1"/>
  <c r="A273" i="8"/>
  <c r="A274" i="8" l="1"/>
  <c r="D273" i="8"/>
  <c r="H273" i="8" s="1"/>
  <c r="A275" i="8" l="1"/>
  <c r="D274" i="8"/>
  <c r="H274" i="8" s="1"/>
  <c r="D275" i="8" l="1"/>
  <c r="H275" i="8" s="1"/>
  <c r="A276" i="8"/>
  <c r="A277" i="8" l="1"/>
  <c r="D276" i="8"/>
  <c r="H276" i="8" s="1"/>
  <c r="D277" i="8" l="1"/>
  <c r="H277" i="8" s="1"/>
  <c r="A278" i="8"/>
  <c r="D278" i="8" l="1"/>
  <c r="H278" i="8" s="1"/>
  <c r="A279" i="8"/>
  <c r="D279" i="8" l="1"/>
  <c r="H279" i="8" s="1"/>
  <c r="A280" i="8"/>
  <c r="D280" i="8" l="1"/>
  <c r="H280" i="8" s="1"/>
  <c r="A281" i="8"/>
  <c r="D281" i="8" l="1"/>
  <c r="H281" i="8" s="1"/>
  <c r="A282" i="8"/>
  <c r="A283" i="8" l="1"/>
  <c r="D282" i="8"/>
  <c r="H282" i="8" s="1"/>
  <c r="D283" i="8" l="1"/>
  <c r="H283" i="8" s="1"/>
  <c r="A284" i="8"/>
  <c r="D284" i="8" l="1"/>
  <c r="H284" i="8" s="1"/>
  <c r="A285" i="8"/>
  <c r="A286" i="8" l="1"/>
  <c r="D285" i="8"/>
  <c r="H285" i="8" s="1"/>
  <c r="D286" i="8" l="1"/>
  <c r="H286" i="8" s="1"/>
  <c r="A287" i="8"/>
  <c r="A288" i="8" l="1"/>
  <c r="D287" i="8"/>
  <c r="H287" i="8" s="1"/>
  <c r="D288" i="8" l="1"/>
  <c r="H288" i="8" s="1"/>
  <c r="A289" i="8"/>
  <c r="D289" i="8" l="1"/>
  <c r="H289" i="8" s="1"/>
  <c r="A290" i="8"/>
  <c r="D290" i="8" l="1"/>
  <c r="H290" i="8" s="1"/>
  <c r="A291" i="8"/>
  <c r="D291" i="8" l="1"/>
  <c r="H291" i="8" s="1"/>
  <c r="A292" i="8"/>
  <c r="A293" i="8" l="1"/>
  <c r="D292" i="8"/>
  <c r="H292" i="8" s="1"/>
  <c r="A294" i="8" l="1"/>
  <c r="D293" i="8"/>
  <c r="H293" i="8" s="1"/>
  <c r="D294" i="8" l="1"/>
  <c r="H294" i="8" s="1"/>
  <c r="A295" i="8"/>
  <c r="A296" i="8" l="1"/>
  <c r="D295" i="8"/>
  <c r="H295" i="8" s="1"/>
  <c r="A297" i="8" l="1"/>
  <c r="D296" i="8"/>
  <c r="H296" i="8" s="1"/>
  <c r="A298" i="8" l="1"/>
  <c r="D297" i="8"/>
  <c r="H297" i="8" s="1"/>
  <c r="D298" i="8" l="1"/>
  <c r="H298" i="8" s="1"/>
  <c r="A299" i="8"/>
  <c r="D299" i="8" l="1"/>
  <c r="H299" i="8" s="1"/>
  <c r="A300" i="8"/>
  <c r="D300" i="8" l="1"/>
  <c r="H300" i="8" s="1"/>
  <c r="A301" i="8"/>
  <c r="A302" i="8" l="1"/>
  <c r="D301" i="8"/>
  <c r="H301" i="8" s="1"/>
  <c r="D302" i="8" l="1"/>
  <c r="H302" i="8" s="1"/>
  <c r="A303" i="8"/>
  <c r="A304" i="8" l="1"/>
  <c r="D303" i="8"/>
  <c r="H303" i="8" s="1"/>
  <c r="D304" i="8" l="1"/>
  <c r="H304" i="8" s="1"/>
  <c r="A305" i="8"/>
  <c r="A306" i="8" l="1"/>
  <c r="D305" i="8"/>
  <c r="H305" i="8" s="1"/>
  <c r="A307" i="8" l="1"/>
  <c r="D306" i="8"/>
  <c r="H306" i="8" s="1"/>
  <c r="A308" i="8" l="1"/>
  <c r="D307" i="8"/>
  <c r="H307" i="8" s="1"/>
  <c r="A309" i="8" l="1"/>
  <c r="D308" i="8"/>
  <c r="H308" i="8" s="1"/>
  <c r="D309" i="8" l="1"/>
  <c r="H309" i="8" s="1"/>
  <c r="A310" i="8"/>
  <c r="A311" i="8" l="1"/>
  <c r="D310" i="8"/>
  <c r="H310" i="8" s="1"/>
  <c r="A312" i="8" l="1"/>
  <c r="D311" i="8"/>
  <c r="H311" i="8" s="1"/>
  <c r="A313" i="8" l="1"/>
  <c r="D312" i="8"/>
  <c r="H312" i="8" s="1"/>
  <c r="D313" i="8" l="1"/>
  <c r="H313" i="8" s="1"/>
  <c r="A314" i="8"/>
  <c r="D314" i="8" l="1"/>
  <c r="H314" i="8" s="1"/>
  <c r="A315" i="8"/>
  <c r="D315" i="8" l="1"/>
  <c r="H315" i="8" s="1"/>
  <c r="A316" i="8"/>
  <c r="D316" i="8" l="1"/>
  <c r="H316" i="8" s="1"/>
  <c r="A317" i="8"/>
  <c r="A318" i="8" l="1"/>
  <c r="D317" i="8"/>
  <c r="H317" i="8" s="1"/>
  <c r="A319" i="8" l="1"/>
  <c r="D318" i="8"/>
  <c r="H318" i="8" s="1"/>
  <c r="A320" i="8" l="1"/>
  <c r="D319" i="8"/>
  <c r="H319" i="8" s="1"/>
  <c r="A321" i="8" l="1"/>
  <c r="D320" i="8"/>
  <c r="H320" i="8" s="1"/>
  <c r="D321" i="8" l="1"/>
  <c r="H321" i="8" s="1"/>
  <c r="A322" i="8"/>
  <c r="A323" i="8" l="1"/>
  <c r="D322" i="8"/>
  <c r="H322" i="8" s="1"/>
  <c r="D323" i="8" l="1"/>
  <c r="H323" i="8" s="1"/>
  <c r="A324" i="8"/>
  <c r="D324" i="8" l="1"/>
  <c r="H324" i="8" s="1"/>
  <c r="A325" i="8"/>
  <c r="D325" i="8" l="1"/>
  <c r="H325" i="8" s="1"/>
  <c r="A326" i="8"/>
  <c r="A327" i="8" l="1"/>
  <c r="D326" i="8"/>
  <c r="H326" i="8" s="1"/>
  <c r="A328" i="8" l="1"/>
  <c r="D327" i="8"/>
  <c r="H327" i="8" s="1"/>
  <c r="D328" i="8" l="1"/>
  <c r="H328" i="8" s="1"/>
  <c r="A329" i="8"/>
  <c r="A330" i="8" l="1"/>
  <c r="D329" i="8"/>
  <c r="H329" i="8" s="1"/>
  <c r="A331" i="8" l="1"/>
  <c r="D330" i="8"/>
  <c r="H330" i="8" s="1"/>
  <c r="D331" i="8" l="1"/>
  <c r="H331" i="8" s="1"/>
  <c r="A332" i="8"/>
  <c r="A333" i="8" l="1"/>
  <c r="D332" i="8"/>
  <c r="H332" i="8" s="1"/>
  <c r="A334" i="8" l="1"/>
  <c r="D333" i="8"/>
  <c r="H333" i="8" s="1"/>
  <c r="A335" i="8" l="1"/>
  <c r="D334" i="8"/>
  <c r="H334" i="8" s="1"/>
  <c r="D335" i="8" l="1"/>
  <c r="H335" i="8" s="1"/>
  <c r="A336" i="8"/>
  <c r="D336" i="8" l="1"/>
  <c r="H336" i="8" s="1"/>
  <c r="A337" i="8"/>
  <c r="D337" i="8" l="1"/>
  <c r="H337" i="8" s="1"/>
  <c r="A338" i="8"/>
  <c r="D338" i="8" l="1"/>
  <c r="H338" i="8" s="1"/>
  <c r="A339" i="8"/>
  <c r="D339" i="8" l="1"/>
  <c r="H339" i="8" s="1"/>
  <c r="A340" i="8"/>
  <c r="A341" i="8" l="1"/>
  <c r="D340" i="8"/>
  <c r="H340" i="8" s="1"/>
  <c r="A342" i="8" l="1"/>
  <c r="D341" i="8"/>
  <c r="H341" i="8" s="1"/>
  <c r="D342" i="8" l="1"/>
  <c r="H342" i="8" s="1"/>
  <c r="A343" i="8"/>
  <c r="A344" i="8" l="1"/>
  <c r="D343" i="8"/>
  <c r="H343" i="8" s="1"/>
  <c r="A345" i="8" l="1"/>
  <c r="D344" i="8"/>
  <c r="H344" i="8" s="1"/>
  <c r="D345" i="8" l="1"/>
  <c r="H345" i="8" s="1"/>
  <c r="A346" i="8"/>
  <c r="D346" i="8" l="1"/>
  <c r="H346" i="8" s="1"/>
  <c r="A347" i="8"/>
  <c r="D347" i="8" l="1"/>
  <c r="H347" i="8" s="1"/>
  <c r="A348" i="8"/>
  <c r="A349" i="8" l="1"/>
  <c r="D348" i="8"/>
  <c r="H348" i="8" s="1"/>
  <c r="A350" i="8" l="1"/>
  <c r="D349" i="8"/>
  <c r="H349" i="8" s="1"/>
  <c r="A351" i="8" l="1"/>
  <c r="D350" i="8"/>
  <c r="H350" i="8" s="1"/>
  <c r="A352" i="8" l="1"/>
  <c r="D351" i="8"/>
  <c r="H351" i="8" s="1"/>
  <c r="A353" i="8" l="1"/>
  <c r="D352" i="8"/>
  <c r="H352" i="8" s="1"/>
  <c r="A354" i="8" l="1"/>
  <c r="D353" i="8"/>
  <c r="H353" i="8" s="1"/>
  <c r="D354" i="8" l="1"/>
  <c r="H354" i="8" s="1"/>
  <c r="A355" i="8"/>
  <c r="D355" i="8" l="1"/>
  <c r="H355" i="8" s="1"/>
  <c r="A356" i="8"/>
  <c r="D356" i="8" l="1"/>
  <c r="H356" i="8" s="1"/>
  <c r="A357" i="8"/>
  <c r="A358" i="8" l="1"/>
  <c r="D357" i="8"/>
  <c r="H357" i="8" s="1"/>
  <c r="A359" i="8" l="1"/>
  <c r="D358" i="8"/>
  <c r="H358" i="8" s="1"/>
  <c r="D359" i="8" l="1"/>
  <c r="H359" i="8" s="1"/>
  <c r="A360" i="8"/>
  <c r="D360" i="8" l="1"/>
  <c r="H360" i="8" s="1"/>
  <c r="H1" i="8" s="1"/>
  <c r="A361" i="8"/>
  <c r="D361" i="8" s="1"/>
  <c r="H361" i="8" s="1"/>
</calcChain>
</file>

<file path=xl/sharedStrings.xml><?xml version="1.0" encoding="utf-8"?>
<sst xmlns="http://schemas.openxmlformats.org/spreadsheetml/2006/main" count="621" uniqueCount="490">
  <si>
    <t>この度は、「創研eライブラリ」にお申し込みいただきありがとうございます。</t>
    <rPh sb="2" eb="3">
      <t>タビ</t>
    </rPh>
    <rPh sb="6" eb="8">
      <t>ソウケン</t>
    </rPh>
    <rPh sb="17" eb="18">
      <t>モウ</t>
    </rPh>
    <rPh sb="19" eb="20">
      <t>コ</t>
    </rPh>
    <phoneticPr fontId="10"/>
  </si>
  <si>
    <t>eラーニング講座提供サービス　利用約款に</t>
    <phoneticPr fontId="10"/>
  </si>
  <si>
    <t>※選択</t>
    <rPh sb="1" eb="3">
      <t>センタク</t>
    </rPh>
    <phoneticPr fontId="10"/>
  </si>
  <si>
    <t>フリガナ</t>
    <phoneticPr fontId="23"/>
  </si>
  <si>
    <t>〒</t>
    <phoneticPr fontId="23"/>
  </si>
  <si>
    <t>フリガナ</t>
  </si>
  <si>
    <r>
      <t>会社名</t>
    </r>
    <r>
      <rPr>
        <b/>
        <sz val="12"/>
        <color rgb="FFFF0000"/>
        <rFont val="Meiryo UI"/>
        <family val="3"/>
        <charset val="128"/>
      </rPr>
      <t>※</t>
    </r>
    <rPh sb="0" eb="2">
      <t>カイシャ</t>
    </rPh>
    <phoneticPr fontId="10"/>
  </si>
  <si>
    <t>代表者名</t>
    <rPh sb="0" eb="3">
      <t>ダイヒョウシャ</t>
    </rPh>
    <rPh sb="3" eb="4">
      <t>メイ</t>
    </rPh>
    <phoneticPr fontId="10"/>
  </si>
  <si>
    <r>
      <t>部署名</t>
    </r>
    <r>
      <rPr>
        <b/>
        <sz val="12"/>
        <color rgb="FFFF0000"/>
        <rFont val="Meiryo UI"/>
        <family val="3"/>
        <charset val="128"/>
      </rPr>
      <t>※</t>
    </r>
    <rPh sb="0" eb="2">
      <t>ブショ</t>
    </rPh>
    <rPh sb="2" eb="3">
      <t>メイ</t>
    </rPh>
    <phoneticPr fontId="23"/>
  </si>
  <si>
    <r>
      <t>ご担当者</t>
    </r>
    <r>
      <rPr>
        <b/>
        <sz val="12"/>
        <color rgb="FFFF0000"/>
        <rFont val="Meiryo UI"/>
        <family val="3"/>
        <charset val="128"/>
      </rPr>
      <t>※</t>
    </r>
    <r>
      <rPr>
        <sz val="12"/>
        <color theme="1"/>
        <rFont val="Meiryo UI"/>
        <family val="3"/>
        <charset val="128"/>
      </rPr>
      <t xml:space="preserve">
（管理者）</t>
    </r>
    <rPh sb="1" eb="4">
      <t>タントウシャ</t>
    </rPh>
    <rPh sb="7" eb="9">
      <t>カンリ</t>
    </rPh>
    <rPh sb="9" eb="10">
      <t>シャ</t>
    </rPh>
    <phoneticPr fontId="10"/>
  </si>
  <si>
    <r>
      <t>TEL</t>
    </r>
    <r>
      <rPr>
        <b/>
        <sz val="12"/>
        <color rgb="FFFF0000"/>
        <rFont val="Meiryo UI"/>
        <family val="3"/>
        <charset val="128"/>
      </rPr>
      <t>※</t>
    </r>
    <phoneticPr fontId="23"/>
  </si>
  <si>
    <r>
      <t>E-mail</t>
    </r>
    <r>
      <rPr>
        <b/>
        <sz val="12"/>
        <color rgb="FFFF0000"/>
        <rFont val="Meiryo UI"/>
        <family val="3"/>
        <charset val="128"/>
      </rPr>
      <t>※</t>
    </r>
    <phoneticPr fontId="23"/>
  </si>
  <si>
    <t>業種</t>
    <rPh sb="0" eb="2">
      <t>ギョウシュ</t>
    </rPh>
    <phoneticPr fontId="23"/>
  </si>
  <si>
    <r>
      <t>【eラーニング受講費用】　　※</t>
    </r>
    <r>
      <rPr>
        <b/>
        <sz val="9"/>
        <color theme="1"/>
        <rFont val="Meiryo UI"/>
        <family val="3"/>
        <charset val="128"/>
      </rPr>
      <t>金額は自動計算されます</t>
    </r>
    <rPh sb="7" eb="9">
      <t>ジュコウ</t>
    </rPh>
    <rPh sb="9" eb="11">
      <t>ヒヨウ</t>
    </rPh>
    <rPh sb="15" eb="17">
      <t>キンガク</t>
    </rPh>
    <rPh sb="18" eb="20">
      <t>ジドウ</t>
    </rPh>
    <rPh sb="20" eb="22">
      <t>ケイサン</t>
    </rPh>
    <phoneticPr fontId="23"/>
  </si>
  <si>
    <t>受講講座</t>
    <rPh sb="0" eb="2">
      <t>ジュコウ</t>
    </rPh>
    <rPh sb="2" eb="4">
      <t>コウザ</t>
    </rPh>
    <phoneticPr fontId="23"/>
  </si>
  <si>
    <t>単価
（税抜）</t>
    <rPh sb="0" eb="2">
      <t>タンカ</t>
    </rPh>
    <rPh sb="4" eb="5">
      <t>ゼイ</t>
    </rPh>
    <rPh sb="5" eb="6">
      <t>ヌ</t>
    </rPh>
    <phoneticPr fontId="23"/>
  </si>
  <si>
    <t>項目</t>
    <rPh sb="0" eb="2">
      <t>コウモク</t>
    </rPh>
    <phoneticPr fontId="23"/>
  </si>
  <si>
    <t>金額
（税抜）</t>
    <rPh sb="0" eb="2">
      <t>キンガク</t>
    </rPh>
    <rPh sb="4" eb="6">
      <t>ゼイヌキ</t>
    </rPh>
    <phoneticPr fontId="23"/>
  </si>
  <si>
    <t>受講料</t>
    <rPh sb="0" eb="3">
      <t>ジュコウリョウ</t>
    </rPh>
    <phoneticPr fontId="23"/>
  </si>
  <si>
    <t>「eラーニング講座（eライブラリ）」　受講者登録表</t>
    <rPh sb="19" eb="22">
      <t>ジュコウシャ</t>
    </rPh>
    <rPh sb="22" eb="24">
      <t>トウロク</t>
    </rPh>
    <rPh sb="24" eb="25">
      <t>ヒョウ</t>
    </rPh>
    <phoneticPr fontId="34"/>
  </si>
  <si>
    <t>管
理
者</t>
    <rPh sb="0" eb="1">
      <t>カン</t>
    </rPh>
    <rPh sb="2" eb="3">
      <t>オサム</t>
    </rPh>
    <rPh sb="4" eb="5">
      <t>シャ</t>
    </rPh>
    <phoneticPr fontId="10"/>
  </si>
  <si>
    <t>部署名</t>
    <rPh sb="0" eb="2">
      <t>ブショ</t>
    </rPh>
    <rPh sb="2" eb="3">
      <t>メイ</t>
    </rPh>
    <phoneticPr fontId="10"/>
  </si>
  <si>
    <t>ご担当者名</t>
    <rPh sb="1" eb="4">
      <t>タントウシャ</t>
    </rPh>
    <rPh sb="4" eb="5">
      <t>メイ</t>
    </rPh>
    <phoneticPr fontId="10"/>
  </si>
  <si>
    <t>E-mail</t>
    <phoneticPr fontId="10"/>
  </si>
  <si>
    <t>【受講者登録】</t>
    <rPh sb="1" eb="4">
      <t>ジュコウシャ</t>
    </rPh>
    <rPh sb="4" eb="6">
      <t>トウロク</t>
    </rPh>
    <phoneticPr fontId="10"/>
  </si>
  <si>
    <t>NO</t>
    <phoneticPr fontId="34"/>
  </si>
  <si>
    <t>氏名</t>
    <rPh sb="0" eb="2">
      <t>シメイ</t>
    </rPh>
    <phoneticPr fontId="34"/>
  </si>
  <si>
    <t>メールアドレス</t>
    <phoneticPr fontId="34"/>
  </si>
  <si>
    <t>例</t>
    <rPh sb="0" eb="1">
      <t>レイ</t>
    </rPh>
    <phoneticPr fontId="10"/>
  </si>
  <si>
    <t>創研　太郎</t>
    <rPh sb="0" eb="2">
      <t>ソウケン</t>
    </rPh>
    <rPh sb="3" eb="5">
      <t>タロウ</t>
    </rPh>
    <phoneticPr fontId="10"/>
  </si>
  <si>
    <t>souken@panasonic.com</t>
    <phoneticPr fontId="10"/>
  </si>
  <si>
    <t>●</t>
    <phoneticPr fontId="10"/>
  </si>
  <si>
    <t>役職</t>
    <rPh sb="0" eb="2">
      <t>ヤクショク</t>
    </rPh>
    <phoneticPr fontId="10"/>
  </si>
  <si>
    <t>ご利用にあたり、利用約款への「ご同意」が必要となりますので、「eラーニング講座提供サービス利用約款」をご確認の上、下記選択をお願いいたします。</t>
    <phoneticPr fontId="10"/>
  </si>
  <si>
    <t>緊急連絡先</t>
    <rPh sb="0" eb="5">
      <t>キンキュウレンラクサキ</t>
    </rPh>
    <phoneticPr fontId="23"/>
  </si>
  <si>
    <t>申込のきっかけ</t>
    <rPh sb="0" eb="2">
      <t>モウシコミ</t>
    </rPh>
    <phoneticPr fontId="23"/>
  </si>
  <si>
    <t>基本設定料</t>
    <rPh sb="0" eb="2">
      <t>キホン</t>
    </rPh>
    <rPh sb="2" eb="5">
      <t>セッテイリョウ</t>
    </rPh>
    <phoneticPr fontId="6"/>
  </si>
  <si>
    <r>
      <t>受講開始希望日</t>
    </r>
    <r>
      <rPr>
        <b/>
        <sz val="10"/>
        <color rgb="FFFF0000"/>
        <rFont val="Meiryo UI"/>
        <family val="3"/>
        <charset val="128"/>
      </rPr>
      <t>※</t>
    </r>
    <rPh sb="0" eb="2">
      <t>ジュコウ</t>
    </rPh>
    <rPh sb="2" eb="4">
      <t>カイシ</t>
    </rPh>
    <rPh sb="4" eb="7">
      <t>キボウビ</t>
    </rPh>
    <phoneticPr fontId="23"/>
  </si>
  <si>
    <r>
      <t xml:space="preserve">受講者人数
</t>
    </r>
    <r>
      <rPr>
        <sz val="9"/>
        <color theme="1"/>
        <rFont val="Meiryo UI"/>
        <family val="3"/>
        <charset val="128"/>
      </rPr>
      <t>※30名までの場合、1申込あたり基本設定料は一律5000円です。
※30名を超える場合は別途お見積りいたします</t>
    </r>
    <rPh sb="0" eb="3">
      <t>ジュコウシャ</t>
    </rPh>
    <rPh sb="3" eb="4">
      <t>ニン</t>
    </rPh>
    <rPh sb="4" eb="5">
      <t>スウ</t>
    </rPh>
    <rPh sb="9" eb="10">
      <t>メイ</t>
    </rPh>
    <rPh sb="13" eb="15">
      <t>バアイ</t>
    </rPh>
    <rPh sb="17" eb="19">
      <t>モウシコミ</t>
    </rPh>
    <rPh sb="22" eb="24">
      <t>キホン</t>
    </rPh>
    <rPh sb="24" eb="27">
      <t>セッテイリョウ</t>
    </rPh>
    <rPh sb="28" eb="30">
      <t>イチリツ</t>
    </rPh>
    <rPh sb="34" eb="35">
      <t>エン</t>
    </rPh>
    <rPh sb="42" eb="43">
      <t>メイ</t>
    </rPh>
    <rPh sb="44" eb="45">
      <t>コ</t>
    </rPh>
    <rPh sb="47" eb="49">
      <t>バアイ</t>
    </rPh>
    <rPh sb="50" eb="52">
      <t>ベット</t>
    </rPh>
    <rPh sb="53" eb="55">
      <t>ミツモ</t>
    </rPh>
    <phoneticPr fontId="6"/>
  </si>
  <si>
    <t>人数</t>
    <rPh sb="0" eb="2">
      <t>ニンズウ</t>
    </rPh>
    <phoneticPr fontId="23"/>
  </si>
  <si>
    <t>小計（税抜）</t>
    <rPh sb="0" eb="1">
      <t>ショウ</t>
    </rPh>
    <rPh sb="1" eb="2">
      <t>ケイ</t>
    </rPh>
    <rPh sb="3" eb="4">
      <t>ゼイ</t>
    </rPh>
    <rPh sb="4" eb="5">
      <t>ヌ</t>
    </rPh>
    <phoneticPr fontId="23"/>
  </si>
  <si>
    <t>受講期間</t>
    <rPh sb="0" eb="2">
      <t>ジュコウ</t>
    </rPh>
    <rPh sb="2" eb="4">
      <t>キカン</t>
    </rPh>
    <phoneticPr fontId="23"/>
  </si>
  <si>
    <t>…</t>
    <phoneticPr fontId="6"/>
  </si>
  <si>
    <t>情報セキュリティ</t>
    <rPh sb="0" eb="2">
      <t>ジョウホウ</t>
    </rPh>
    <phoneticPr fontId="34"/>
  </si>
  <si>
    <t>TCD020</t>
  </si>
  <si>
    <t>TCD019</t>
  </si>
  <si>
    <t>TCD018</t>
  </si>
  <si>
    <t>TCD017</t>
  </si>
  <si>
    <t>TCD016</t>
  </si>
  <si>
    <t>TCD015</t>
  </si>
  <si>
    <t>TCD014</t>
  </si>
  <si>
    <t>TCD013</t>
  </si>
  <si>
    <t>TCD012</t>
  </si>
  <si>
    <t>TCD011</t>
  </si>
  <si>
    <t>TCD010</t>
  </si>
  <si>
    <t>TCD009</t>
  </si>
  <si>
    <t>TCD008</t>
  </si>
  <si>
    <t>TCD007</t>
  </si>
  <si>
    <t>TCD006</t>
  </si>
  <si>
    <t>TCD005</t>
  </si>
  <si>
    <t>TCD004</t>
  </si>
  <si>
    <t>TCD003</t>
  </si>
  <si>
    <t>TCD002</t>
  </si>
  <si>
    <t>TCD001</t>
    <phoneticPr fontId="34"/>
  </si>
  <si>
    <t>【管理監督者向け】健康いきいき職場を目指して　職場のコミュニケーション</t>
  </si>
  <si>
    <t>メンタルヘルス</t>
    <phoneticPr fontId="34"/>
  </si>
  <si>
    <t>TCC010</t>
  </si>
  <si>
    <t>【管理監督者向け】健康いきいき職場を目指して　長時間労働削減に向けて</t>
  </si>
  <si>
    <t>TCC009</t>
    <phoneticPr fontId="34"/>
  </si>
  <si>
    <t>TCC008</t>
  </si>
  <si>
    <t>TCC007</t>
  </si>
  <si>
    <t>TCC006</t>
  </si>
  <si>
    <t>TCC005</t>
  </si>
  <si>
    <t>TCC004</t>
  </si>
  <si>
    <t>TCC003</t>
  </si>
  <si>
    <t>TCC002</t>
  </si>
  <si>
    <t>TCC001</t>
    <phoneticPr fontId="34"/>
  </si>
  <si>
    <t>ハラスメント防止講座（管理者向け）</t>
    <phoneticPr fontId="34"/>
  </si>
  <si>
    <t>コンプライアンス</t>
    <phoneticPr fontId="34"/>
  </si>
  <si>
    <t>TCB018</t>
    <phoneticPr fontId="34"/>
  </si>
  <si>
    <t>ハラスメント防止講座（一般社員向け）</t>
    <phoneticPr fontId="34"/>
  </si>
  <si>
    <t>TCB017</t>
    <phoneticPr fontId="34"/>
  </si>
  <si>
    <t>ハラスメント防止講座（全社員向け）</t>
    <phoneticPr fontId="34"/>
  </si>
  <si>
    <t>TCB016</t>
    <phoneticPr fontId="34"/>
  </si>
  <si>
    <t>テストで学ぶ下請法</t>
  </si>
  <si>
    <t>TCB013</t>
  </si>
  <si>
    <t>コンプライアンス不正防止シリーズ　カルテル防止</t>
    <rPh sb="21" eb="23">
      <t>ボウシ</t>
    </rPh>
    <phoneticPr fontId="34"/>
  </si>
  <si>
    <t>TCB012</t>
  </si>
  <si>
    <t>コンプライアンス不正防止シリーズ　公務員贈賄防止</t>
    <rPh sb="22" eb="24">
      <t>ボウシ</t>
    </rPh>
    <phoneticPr fontId="34"/>
  </si>
  <si>
    <t>TCB011</t>
  </si>
  <si>
    <t>コンプライアンス不正防止シリーズ　不正会計・資産の不正流用</t>
    <rPh sb="8" eb="12">
      <t>フセイボウシ</t>
    </rPh>
    <phoneticPr fontId="34"/>
  </si>
  <si>
    <t>TCB010</t>
  </si>
  <si>
    <t>TCB009</t>
  </si>
  <si>
    <t>TCB008</t>
  </si>
  <si>
    <t>TCB007</t>
  </si>
  <si>
    <t>TCB006</t>
  </si>
  <si>
    <t>TCB005</t>
  </si>
  <si>
    <t>TCB004</t>
  </si>
  <si>
    <t>TCB003</t>
  </si>
  <si>
    <t>TCB002</t>
    <phoneticPr fontId="34"/>
  </si>
  <si>
    <t>TCB001</t>
    <phoneticPr fontId="34"/>
  </si>
  <si>
    <t>e-建設現場における安全衛生の基礎知識</t>
    <phoneticPr fontId="34"/>
  </si>
  <si>
    <t>住建系スキル</t>
    <rPh sb="0" eb="2">
      <t>ジュウケン</t>
    </rPh>
    <rPh sb="2" eb="3">
      <t>ケイ</t>
    </rPh>
    <phoneticPr fontId="34"/>
  </si>
  <si>
    <t>SEB008</t>
  </si>
  <si>
    <t>e-建設現場におけるマナー研修</t>
    <phoneticPr fontId="34"/>
  </si>
  <si>
    <t>SEB007</t>
  </si>
  <si>
    <t>e-建設業界コンプライアンス基礎</t>
    <phoneticPr fontId="34"/>
  </si>
  <si>
    <t>SEB006</t>
  </si>
  <si>
    <t>e-住宅設備基礎知識</t>
    <rPh sb="2" eb="4">
      <t>ジュウタク</t>
    </rPh>
    <rPh sb="4" eb="6">
      <t>セツビ</t>
    </rPh>
    <rPh sb="6" eb="8">
      <t>キソ</t>
    </rPh>
    <rPh sb="8" eb="10">
      <t>チシキ</t>
    </rPh>
    <phoneticPr fontId="34"/>
  </si>
  <si>
    <t>SEB005</t>
    <phoneticPr fontId="34"/>
  </si>
  <si>
    <t>e-建設業法基礎知識</t>
    <rPh sb="2" eb="5">
      <t>ケンセツギョウ</t>
    </rPh>
    <rPh sb="5" eb="6">
      <t>ホウ</t>
    </rPh>
    <rPh sb="6" eb="8">
      <t>キソ</t>
    </rPh>
    <rPh sb="8" eb="10">
      <t>チシキ</t>
    </rPh>
    <phoneticPr fontId="34"/>
  </si>
  <si>
    <t>SEB004</t>
    <phoneticPr fontId="34"/>
  </si>
  <si>
    <t>e-建築基礎知識初級（３）【リフォーム・現地調査編】</t>
    <phoneticPr fontId="34"/>
  </si>
  <si>
    <t>SEB003</t>
  </si>
  <si>
    <t>e-建築基礎知識初級（２）【施工・法規編】</t>
    <phoneticPr fontId="34"/>
  </si>
  <si>
    <t>SEB002</t>
  </si>
  <si>
    <t>e-建築基礎知識初級（１）【構造・図面編】</t>
    <phoneticPr fontId="34"/>
  </si>
  <si>
    <t>SEB001</t>
    <phoneticPr fontId="34"/>
  </si>
  <si>
    <t xml:space="preserve">e-自動火災報知設備、住宅用火災警報器の基礎 </t>
    <phoneticPr fontId="34"/>
  </si>
  <si>
    <t>電材系スキル</t>
    <rPh sb="0" eb="2">
      <t>デンザイ</t>
    </rPh>
    <rPh sb="2" eb="3">
      <t>ケイ</t>
    </rPh>
    <phoneticPr fontId="34"/>
  </si>
  <si>
    <t>e-換気の基礎</t>
    <phoneticPr fontId="34"/>
  </si>
  <si>
    <t>SEA005</t>
  </si>
  <si>
    <t>e-空調の基礎　</t>
    <phoneticPr fontId="34"/>
  </si>
  <si>
    <t>SEA004</t>
  </si>
  <si>
    <t>e-ビルができるまで</t>
    <phoneticPr fontId="34"/>
  </si>
  <si>
    <t>SEA003</t>
    <phoneticPr fontId="34"/>
  </si>
  <si>
    <t>e-あかりの基礎</t>
    <rPh sb="6" eb="8">
      <t>キソ</t>
    </rPh>
    <phoneticPr fontId="34"/>
  </si>
  <si>
    <t>SEA002</t>
    <phoneticPr fontId="34"/>
  </si>
  <si>
    <t>e-電設資材</t>
    <rPh sb="2" eb="4">
      <t>デンセツ</t>
    </rPh>
    <rPh sb="4" eb="6">
      <t>シザイ</t>
    </rPh>
    <phoneticPr fontId="34"/>
  </si>
  <si>
    <t>SEA001</t>
    <phoneticPr fontId="34"/>
  </si>
  <si>
    <t>受講期間</t>
    <phoneticPr fontId="34"/>
  </si>
  <si>
    <t>項目名</t>
    <rPh sb="0" eb="2">
      <t>コウモク</t>
    </rPh>
    <rPh sb="2" eb="3">
      <t>メイ</t>
    </rPh>
    <phoneticPr fontId="34"/>
  </si>
  <si>
    <t>カテゴリ</t>
    <phoneticPr fontId="34"/>
  </si>
  <si>
    <t>コード</t>
    <phoneticPr fontId="34"/>
  </si>
  <si>
    <t>受講料（税抜）</t>
    <rPh sb="0" eb="3">
      <t>ジュコウリョウ</t>
    </rPh>
    <rPh sb="4" eb="6">
      <t>ゼイヌキ</t>
    </rPh>
    <phoneticPr fontId="34"/>
  </si>
  <si>
    <t>SEB009</t>
  </si>
  <si>
    <t>e-接客マナー</t>
    <rPh sb="2" eb="4">
      <t>セッキャク</t>
    </rPh>
    <phoneticPr fontId="34"/>
  </si>
  <si>
    <t>ビジュアルで学ぶコンプライアンス　独占禁止法（基礎編）</t>
    <rPh sb="6" eb="7">
      <t>マナ</t>
    </rPh>
    <rPh sb="17" eb="22">
      <t>ドクセンキンシホウ</t>
    </rPh>
    <phoneticPr fontId="34"/>
  </si>
  <si>
    <t>テストで学ぶコンプライアンスの基礎</t>
    <phoneticPr fontId="6"/>
  </si>
  <si>
    <t>コンプライアンス　ビジュアルで学ぶシリーズ契約（基礎編）</t>
    <phoneticPr fontId="6"/>
  </si>
  <si>
    <t>コンプライアンス　ビジュアルで学ぶシリーズ下請法（基礎編）</t>
    <phoneticPr fontId="6"/>
  </si>
  <si>
    <t>コンプライアンス　ビジュアルで学ぶシリーズ下請法（実務編）</t>
    <phoneticPr fontId="6"/>
  </si>
  <si>
    <t>コンプライアンス　ビジュアルで学ぶシリーズ著作権法（基礎編）</t>
    <phoneticPr fontId="6"/>
  </si>
  <si>
    <t>ビジュアルで学ぶコンプライアンス　独占禁止法（カルテル編）</t>
    <phoneticPr fontId="34"/>
  </si>
  <si>
    <t>コンプライアンス　ビジュアルで学ぶシリーズ製造物責任法（基礎編）</t>
    <phoneticPr fontId="6"/>
  </si>
  <si>
    <t>コンプライアンス　ビジュアルで学ぶシリーズ安全保障貿易(輸出)管理(入門編)</t>
    <phoneticPr fontId="6"/>
  </si>
  <si>
    <t>メンタヘルス【一般社員向け】メンタルヘルス　セルフケア</t>
    <phoneticPr fontId="6"/>
  </si>
  <si>
    <t>メンタヘルス【管理監督者向け】メンタルヘルス　基礎講座</t>
    <phoneticPr fontId="6"/>
  </si>
  <si>
    <t>メンタヘルス【管理監督者向け】メンタルヘルス　コミュニケーション法編</t>
    <phoneticPr fontId="6"/>
  </si>
  <si>
    <t>メンタヘルス【管理監督者向け】メンタルヘルス　職場改善編</t>
    <phoneticPr fontId="6"/>
  </si>
  <si>
    <t>メンタヘルス【管理監督者向け】メンタルヘルス　休復職支援編</t>
    <phoneticPr fontId="6"/>
  </si>
  <si>
    <t>メンタヘルス【管理監督者向け】メンタルヘルス　早期発見・早期対応編</t>
    <phoneticPr fontId="6"/>
  </si>
  <si>
    <t>メンタヘルス【管理監督者向け】メンタルヘルス　傾聴法編</t>
    <phoneticPr fontId="6"/>
  </si>
  <si>
    <t>メンタヘルス【管理監督者向け】メンタルヘルス　潜在リスクへの対応編</t>
    <phoneticPr fontId="6"/>
  </si>
  <si>
    <t>テストで学ぶ情報セキュリティ日本語のみ</t>
    <phoneticPr fontId="6"/>
  </si>
  <si>
    <t>テストで学ぶ情報セキュリティ日本語＋英</t>
    <phoneticPr fontId="6"/>
  </si>
  <si>
    <t>テストで学ぶ情報セキュリティ日本語＋中</t>
    <phoneticPr fontId="6"/>
  </si>
  <si>
    <t>テストで学ぶ情報セキュリティ日本語＋中/英</t>
    <phoneticPr fontId="6"/>
  </si>
  <si>
    <t>情報セキュリティ　ビジュアルで学ぶ情報セキュリティ　シリーズ１．情報セキュリティ入門</t>
    <phoneticPr fontId="6"/>
  </si>
  <si>
    <t>情報セキュリティ　ビジュアルで学ぶ情報セキュリティ　シリーズ２．パソコンの利用（パスワードの管理編）</t>
    <phoneticPr fontId="6"/>
  </si>
  <si>
    <t>情報セキュリティ　ビジュアルで学ぶ情報セキュリティ　シリーズ３．パソコンの利用（ウィルス対策編）</t>
    <phoneticPr fontId="6"/>
  </si>
  <si>
    <t>情報セキュリティ　ビジュアルで学ぶ情報セキュリティ　シリーズ４．パソコンの利用（オフィスのパソコン利用編）</t>
    <phoneticPr fontId="6"/>
  </si>
  <si>
    <t>情報セキュリティ　ビジュアルで学ぶ情報セキュリティ　シリーズ５．パソコンの利用（持ち出し編）</t>
    <phoneticPr fontId="6"/>
  </si>
  <si>
    <t>情報セキュリティ　ビジュアルで学ぶ情報セキュリティ　シリーズ６．電子メールの利用（送信編）</t>
    <phoneticPr fontId="6"/>
  </si>
  <si>
    <t>情報セキュリティ　ビジュアルで学ぶ情報セキュリティ　シリーズ７．電子メールの利用（受信編）</t>
    <phoneticPr fontId="6"/>
  </si>
  <si>
    <t>情報セキュリティ　ビジュアルで学ぶ情報セキュリティ　シリーズ８．日常のルール＆マナー（情報の利用編）　</t>
    <phoneticPr fontId="6"/>
  </si>
  <si>
    <t>情報セキュリティ　ビジュアルで学ぶ情報セキュリティ　シリーズ９．日常のルール＆マナー（情報の廃棄編）</t>
    <phoneticPr fontId="6"/>
  </si>
  <si>
    <t>情報セキュリティ　ビジュアルで学ぶ情報セキュリティ　シリーズ１１．日常のルール＆マナー（外出編）　</t>
    <phoneticPr fontId="6"/>
  </si>
  <si>
    <t>情報セキュリティ　ビジュアルで学ぶ情報セキュリティ　シリーズ１０．日常のル-ル＆マナー（オフィスの利用編）</t>
    <phoneticPr fontId="6"/>
  </si>
  <si>
    <t>情報セキュリティ　ビジュアルで学ぶ情報セキュリティ　シリーズ１２．個人情報保護（概要編）</t>
    <phoneticPr fontId="6"/>
  </si>
  <si>
    <t>情報セキュリティ　ビジュアルで学ぶ情報セキュリティ　シリーズ１３．スマートデバイス編</t>
    <phoneticPr fontId="6"/>
  </si>
  <si>
    <t>情報セキュリティ　ビジュアルで学ぶ情報セキュリティ　シリーズ１４．ソーシャルメディア編</t>
    <phoneticPr fontId="6"/>
  </si>
  <si>
    <t>情報セキュリティ　ビジュアルで学ぶ情報セキュリティ　シリーズ１５．営業秘密の保護編</t>
    <phoneticPr fontId="6"/>
  </si>
  <si>
    <t>情報セキュリティ　ビジュアルで学ぶ情報セキュリティ　シリーズ１６．標的型攻撃メール</t>
    <phoneticPr fontId="6"/>
  </si>
  <si>
    <t>カテゴリ</t>
    <phoneticPr fontId="23"/>
  </si>
  <si>
    <t>コースコード</t>
    <phoneticPr fontId="6"/>
  </si>
  <si>
    <t>合計（税込）</t>
    <rPh sb="0" eb="2">
      <t>ゴウケイ</t>
    </rPh>
    <rPh sb="3" eb="5">
      <t>ゼイコミ</t>
    </rPh>
    <phoneticPr fontId="23"/>
  </si>
  <si>
    <t>受講者登録表の内容を自動的に反映します</t>
    <rPh sb="0" eb="6">
      <t>ジュコウシャトウロクヒョウ</t>
    </rPh>
    <rPh sb="7" eb="9">
      <t>ナイヨウ</t>
    </rPh>
    <rPh sb="10" eb="13">
      <t>ジドウテキ</t>
    </rPh>
    <rPh sb="14" eb="16">
      <t>ハンエイ</t>
    </rPh>
    <phoneticPr fontId="6"/>
  </si>
  <si>
    <t>※カテゴリ・受講講座はプルダウン選択にしています。　</t>
    <rPh sb="6" eb="10">
      <t>ジュコウコウザ</t>
    </rPh>
    <phoneticPr fontId="6"/>
  </si>
  <si>
    <t>受講講座・受講者数　※該当する講座に、「●」を選択してください。（プルダウン選択）</t>
    <rPh sb="0" eb="2">
      <t>ジュコウ</t>
    </rPh>
    <rPh sb="2" eb="4">
      <t>コウザ</t>
    </rPh>
    <rPh sb="5" eb="9">
      <t>ジュコウシャスウ</t>
    </rPh>
    <rPh sb="11" eb="13">
      <t>ガイトウ</t>
    </rPh>
    <rPh sb="15" eb="17">
      <t>コウザ</t>
    </rPh>
    <rPh sb="23" eb="25">
      <t>センタク</t>
    </rPh>
    <rPh sb="38" eb="40">
      <t>センタク</t>
    </rPh>
    <phoneticPr fontId="10"/>
  </si>
  <si>
    <t>…受講者数を自動的に反映します</t>
    <rPh sb="1" eb="5">
      <t>ジュコウシャスウ</t>
    </rPh>
    <phoneticPr fontId="6"/>
  </si>
  <si>
    <t>●</t>
    <phoneticPr fontId="6"/>
  </si>
  <si>
    <t>創研記入欄</t>
    <rPh sb="0" eb="5">
      <t>ソウケンキニュウラン</t>
    </rPh>
    <phoneticPr fontId="6"/>
  </si>
  <si>
    <t>担当者</t>
    <rPh sb="0" eb="3">
      <t>タントウシャ</t>
    </rPh>
    <phoneticPr fontId="6"/>
  </si>
  <si>
    <t>締切日</t>
    <rPh sb="0" eb="2">
      <t>シメキリ</t>
    </rPh>
    <rPh sb="2" eb="3">
      <t>ビ</t>
    </rPh>
    <phoneticPr fontId="34"/>
  </si>
  <si>
    <t>10営業日</t>
    <rPh sb="2" eb="5">
      <t>エイギョウビ</t>
    </rPh>
    <phoneticPr fontId="34"/>
  </si>
  <si>
    <t>事由</t>
    <rPh sb="0" eb="2">
      <t>ジユウ</t>
    </rPh>
    <phoneticPr fontId="6"/>
  </si>
  <si>
    <t>平日の休業日</t>
    <rPh sb="0" eb="2">
      <t>ヘイジツ</t>
    </rPh>
    <rPh sb="3" eb="6">
      <t>キュウギョウビ</t>
    </rPh>
    <phoneticPr fontId="6"/>
  </si>
  <si>
    <t>申込可能日</t>
    <rPh sb="0" eb="2">
      <t>モウシコミ</t>
    </rPh>
    <rPh sb="2" eb="5">
      <t>カノウヒ</t>
    </rPh>
    <phoneticPr fontId="6"/>
  </si>
  <si>
    <t>今日
⇒</t>
    <rPh sb="0" eb="2">
      <t>キョウ</t>
    </rPh>
    <phoneticPr fontId="6"/>
  </si>
  <si>
    <t>コースコード</t>
  </si>
  <si>
    <t>ログインID</t>
  </si>
  <si>
    <t>受講開始日</t>
  </si>
  <si>
    <t>受講終了日</t>
  </si>
  <si>
    <t>入力チェック</t>
    <rPh sb="0" eb="2">
      <t>ニュウリョク</t>
    </rPh>
    <phoneticPr fontId="6"/>
  </si>
  <si>
    <r>
      <rPr>
        <b/>
        <sz val="10"/>
        <color theme="1"/>
        <rFont val="Meiryo UI"/>
        <family val="3"/>
        <charset val="128"/>
      </rPr>
      <t>「eラーニング講座提供サービス　利用約款」を必ずお読みください。</t>
    </r>
    <r>
      <rPr>
        <sz val="10"/>
        <color theme="1"/>
        <rFont val="Meiryo UI"/>
        <family val="3"/>
        <charset val="128"/>
      </rPr>
      <t xml:space="preserve">
　「eラーニング講座提供サービス 利用約款」および当該約款で規定する個人情報の取り扱いについて、　
　同意いただける場合は、同意の意思表示として「同意する」の選択をお願いいたします。
　同意いただけない場合は、お申し込みいただくことはできず、受講の手続きができかねますので、予めご了承ください。</t>
    </r>
    <phoneticPr fontId="10"/>
  </si>
  <si>
    <t>農業・林業・漁業</t>
  </si>
  <si>
    <r>
      <t>【企業概要】　（赤枠内をご記入ください　</t>
    </r>
    <r>
      <rPr>
        <b/>
        <sz val="12"/>
        <color rgb="FFFF0000"/>
        <rFont val="Meiryo UI"/>
        <family val="3"/>
        <charset val="128"/>
      </rPr>
      <t>※必須</t>
    </r>
    <r>
      <rPr>
        <b/>
        <sz val="12"/>
        <color theme="1"/>
        <rFont val="Meiryo UI"/>
        <family val="3"/>
        <charset val="128"/>
      </rPr>
      <t>）</t>
    </r>
    <rPh sb="1" eb="3">
      <t>キギョウ</t>
    </rPh>
    <rPh sb="3" eb="5">
      <t>ガイヨウ</t>
    </rPh>
    <rPh sb="8" eb="9">
      <t>アカ</t>
    </rPh>
    <rPh sb="9" eb="11">
      <t>ワクナイ</t>
    </rPh>
    <rPh sb="13" eb="15">
      <t>キニュウ</t>
    </rPh>
    <rPh sb="21" eb="23">
      <t>ヒッス</t>
    </rPh>
    <phoneticPr fontId="23"/>
  </si>
  <si>
    <r>
      <t>所在地</t>
    </r>
    <r>
      <rPr>
        <sz val="12"/>
        <color rgb="FFFF0000"/>
        <rFont val="Meiryo UI"/>
        <family val="3"/>
        <charset val="128"/>
      </rPr>
      <t>※</t>
    </r>
    <rPh sb="0" eb="3">
      <t>ショザイチ</t>
    </rPh>
    <phoneticPr fontId="23"/>
  </si>
  <si>
    <t>カテゴリー</t>
    <phoneticPr fontId="6"/>
  </si>
  <si>
    <t>表示</t>
    <rPh sb="0" eb="2">
      <t>ヒョウジ</t>
    </rPh>
    <phoneticPr fontId="6"/>
  </si>
  <si>
    <t>申込会社</t>
    <rPh sb="0" eb="2">
      <t>モウシコミ</t>
    </rPh>
    <rPh sb="2" eb="4">
      <t>カイシャ</t>
    </rPh>
    <phoneticPr fontId="58"/>
  </si>
  <si>
    <t>会　社　名</t>
    <rPh sb="0" eb="1">
      <t>カイ</t>
    </rPh>
    <rPh sb="2" eb="3">
      <t>シャ</t>
    </rPh>
    <rPh sb="4" eb="5">
      <t>メイ</t>
    </rPh>
    <phoneticPr fontId="10"/>
  </si>
  <si>
    <t>郵便</t>
    <rPh sb="0" eb="2">
      <t>ユウビン</t>
    </rPh>
    <phoneticPr fontId="6"/>
  </si>
  <si>
    <t>ご住所</t>
    <rPh sb="1" eb="3">
      <t>ジュウショ</t>
    </rPh>
    <phoneticPr fontId="23"/>
  </si>
  <si>
    <t>連絡先
（TEL）</t>
    <rPh sb="0" eb="3">
      <t>レンラクサキ</t>
    </rPh>
    <phoneticPr fontId="10" alignment="center"/>
  </si>
  <si>
    <t>部署</t>
    <phoneticPr fontId="34"/>
  </si>
  <si>
    <t>担当</t>
    <rPh sb="0" eb="2">
      <t>タントウ</t>
    </rPh>
    <phoneticPr fontId="34"/>
  </si>
  <si>
    <t>緊急連絡先</t>
    <rPh sb="0" eb="2">
      <t>キンキュウ</t>
    </rPh>
    <rPh sb="2" eb="5">
      <t>レンラクサキ</t>
    </rPh>
    <phoneticPr fontId="10" alignment="center"/>
  </si>
  <si>
    <t>E-MAIL(担当者)</t>
    <rPh sb="7" eb="10">
      <t>タントウシャ</t>
    </rPh>
    <phoneticPr fontId="34"/>
  </si>
  <si>
    <t>受講者</t>
    <rPh sb="0" eb="3">
      <t>ジュコウシャ</t>
    </rPh>
    <phoneticPr fontId="58"/>
  </si>
  <si>
    <t>部課コード</t>
    <rPh sb="0" eb="2">
      <t>ブカ</t>
    </rPh>
    <phoneticPr fontId="6"/>
  </si>
  <si>
    <t>配列</t>
    <rPh sb="0" eb="2">
      <t>ハイレツ</t>
    </rPh>
    <phoneticPr fontId="6"/>
  </si>
  <si>
    <t>合計</t>
    <rPh sb="0" eb="2">
      <t>ゴウケイ</t>
    </rPh>
    <phoneticPr fontId="6"/>
  </si>
  <si>
    <t>No</t>
    <phoneticPr fontId="6"/>
  </si>
  <si>
    <t>【ｅラーニング研修】　お申込みにあたって</t>
  </si>
  <si>
    <t>この度は、 【ｅラーニング研修】 にお申し込みいただきありがとうございます。</t>
  </si>
  <si>
    <t>ダウンロードされたエクセル表に下記の手順でご記入下さい。</t>
  </si>
  <si>
    <t>受講される受講講座の欄をプルダウンで選択して下さい。</t>
  </si>
  <si>
    <t>メールでの受信確認をいたしまして、お支払いの確認をさせて頂き、</t>
  </si>
  <si>
    <t>「eラーニング(創研eライブラリ)のご利用にあたって」</t>
  </si>
  <si>
    <t>以上、宜しくお願いいたします。</t>
  </si>
  <si>
    <t>続いて「申込書」の下段の赤枠の部分（下図参照）で</t>
    <phoneticPr fontId="6"/>
  </si>
  <si>
    <t>カテゴリと研修講座名をプルダウンで選択して下さい。</t>
    <phoneticPr fontId="6"/>
  </si>
  <si>
    <t>受講者登録表の内容に基づいて、「申込書」の下段に講座ごとの</t>
    <phoneticPr fontId="6"/>
  </si>
  <si>
    <t>お申込みに関しまして入力が終わりましたら、</t>
    <phoneticPr fontId="6"/>
  </si>
  <si>
    <t>メールでエクセル表を送信してお申込みください。</t>
    <phoneticPr fontId="6"/>
  </si>
  <si>
    <t>「eラーニング講座提供サービス利用約款」</t>
    <phoneticPr fontId="6"/>
  </si>
  <si>
    <r>
      <t>必須入力項目</t>
    </r>
    <r>
      <rPr>
        <sz val="16"/>
        <color rgb="FFFF0000"/>
        <rFont val="ＭＳ Ｐゴシック"/>
        <family val="3"/>
        <charset val="128"/>
      </rPr>
      <t>※</t>
    </r>
    <r>
      <rPr>
        <sz val="16"/>
        <color theme="1"/>
        <rFont val="ＭＳ Ｐゴシック"/>
        <family val="3"/>
        <charset val="128"/>
      </rPr>
      <t>が全て入力できていないと、</t>
    </r>
    <phoneticPr fontId="6"/>
  </si>
  <si>
    <r>
      <t xml:space="preserve">緊急連絡先
</t>
    </r>
    <r>
      <rPr>
        <b/>
        <sz val="12"/>
        <color rgb="FFFF0000"/>
        <rFont val="Meiryo UI"/>
        <family val="3"/>
        <charset val="128"/>
      </rPr>
      <t>※</t>
    </r>
    <rPh sb="0" eb="5">
      <t>キンキュウレンラクサキ</t>
    </rPh>
    <phoneticPr fontId="23"/>
  </si>
  <si>
    <r>
      <t>受講開始
希望日</t>
    </r>
    <r>
      <rPr>
        <b/>
        <sz val="11"/>
        <color rgb="FFFF0000"/>
        <rFont val="Meiryo UI"/>
        <family val="3"/>
        <charset val="128"/>
      </rPr>
      <t>※</t>
    </r>
    <rPh sb="0" eb="2">
      <t>ジュコウ</t>
    </rPh>
    <rPh sb="2" eb="4">
      <t>カイシ</t>
    </rPh>
    <rPh sb="5" eb="8">
      <t>キボウビ</t>
    </rPh>
    <phoneticPr fontId="23"/>
  </si>
  <si>
    <t>お会社名</t>
    <rPh sb="1" eb="4">
      <t>カイシャメイ</t>
    </rPh>
    <phoneticPr fontId="10"/>
  </si>
  <si>
    <t>備考欄</t>
    <rPh sb="0" eb="3">
      <t>ビコウラン</t>
    </rPh>
    <phoneticPr fontId="6"/>
  </si>
  <si>
    <t>※上記項目は、「申込内容確認書」に基づき、表示しています。</t>
    <rPh sb="21" eb="23">
      <t>ヒョウジ</t>
    </rPh>
    <phoneticPr fontId="6"/>
  </si>
  <si>
    <t>※管理者を複数名設定される場合は、この下の欄に担当者名・メールアドレスをご記入下さい</t>
    <rPh sb="1" eb="4">
      <t>カンリシャ</t>
    </rPh>
    <rPh sb="5" eb="8">
      <t>フクスウメイ</t>
    </rPh>
    <rPh sb="8" eb="10">
      <t>セッテイ</t>
    </rPh>
    <rPh sb="13" eb="15">
      <t>バアイ</t>
    </rPh>
    <rPh sb="19" eb="20">
      <t>シタ</t>
    </rPh>
    <rPh sb="21" eb="22">
      <t>ラン</t>
    </rPh>
    <rPh sb="23" eb="27">
      <t>タントウシャメイ</t>
    </rPh>
    <rPh sb="37" eb="42">
      <t>キニュウ</t>
    </rPh>
    <phoneticPr fontId="6"/>
  </si>
  <si>
    <t>…受講講座を自動的に反映しています</t>
    <rPh sb="1" eb="3">
      <t>ジュコウ</t>
    </rPh>
    <rPh sb="3" eb="5">
      <t>コウザ</t>
    </rPh>
    <phoneticPr fontId="6"/>
  </si>
  <si>
    <t>赤枠部分に氏名､アドレスを入力、科目を選択して下さい</t>
    <rPh sb="0" eb="2">
      <t>アカワク</t>
    </rPh>
    <rPh sb="2" eb="4">
      <t>ブブン</t>
    </rPh>
    <rPh sb="5" eb="7">
      <t>シメイ</t>
    </rPh>
    <rPh sb="13" eb="15">
      <t>ニュウリョク</t>
    </rPh>
    <rPh sb="16" eb="18">
      <t>カモク</t>
    </rPh>
    <rPh sb="19" eb="21">
      <t>センタク</t>
    </rPh>
    <rPh sb="23" eb="24">
      <t>クダ</t>
    </rPh>
    <phoneticPr fontId="6"/>
  </si>
  <si>
    <t>NO</t>
    <phoneticPr fontId="6"/>
  </si>
  <si>
    <r>
      <t>申込日</t>
    </r>
    <r>
      <rPr>
        <b/>
        <sz val="11"/>
        <color rgb="FFFF0000"/>
        <rFont val="Meiryo UI"/>
        <family val="3"/>
        <charset val="128"/>
      </rPr>
      <t>※</t>
    </r>
    <phoneticPr fontId="23"/>
  </si>
  <si>
    <r>
      <t>所在地</t>
    </r>
    <r>
      <rPr>
        <sz val="11"/>
        <color rgb="FFFF0000"/>
        <rFont val="Meiryo UI"/>
        <family val="3"/>
        <charset val="128"/>
      </rPr>
      <t>※</t>
    </r>
    <rPh sb="0" eb="3">
      <t>ショザイチ</t>
    </rPh>
    <phoneticPr fontId="23"/>
  </si>
  <si>
    <r>
      <t>会社名</t>
    </r>
    <r>
      <rPr>
        <b/>
        <sz val="11"/>
        <color rgb="FFFF0000"/>
        <rFont val="Meiryo UI"/>
        <family val="3"/>
        <charset val="128"/>
      </rPr>
      <t>※</t>
    </r>
    <rPh sb="0" eb="2">
      <t>カイシャ</t>
    </rPh>
    <phoneticPr fontId="10"/>
  </si>
  <si>
    <r>
      <t>部署名</t>
    </r>
    <r>
      <rPr>
        <b/>
        <sz val="11"/>
        <color rgb="FFFF0000"/>
        <rFont val="Meiryo UI"/>
        <family val="3"/>
        <charset val="128"/>
      </rPr>
      <t>※</t>
    </r>
    <rPh sb="0" eb="2">
      <t>ブショ</t>
    </rPh>
    <rPh sb="2" eb="3">
      <t>メイ</t>
    </rPh>
    <phoneticPr fontId="23"/>
  </si>
  <si>
    <r>
      <t>TEL</t>
    </r>
    <r>
      <rPr>
        <b/>
        <sz val="11"/>
        <color rgb="FFFF0000"/>
        <rFont val="Meiryo UI"/>
        <family val="3"/>
        <charset val="128"/>
      </rPr>
      <t>※</t>
    </r>
    <phoneticPr fontId="23"/>
  </si>
  <si>
    <t>入力チェック</t>
    <rPh sb="0" eb="2">
      <t>ニュウリョク</t>
    </rPh>
    <phoneticPr fontId="6"/>
  </si>
  <si>
    <t>講座マスタの１行目</t>
    <rPh sb="0" eb="2">
      <t>コウザ</t>
    </rPh>
    <rPh sb="7" eb="9">
      <t>ギョウメ</t>
    </rPh>
    <phoneticPr fontId="6"/>
  </si>
  <si>
    <t>＜受講科目＞</t>
    <rPh sb="1" eb="3">
      <t>ジュコウ</t>
    </rPh>
    <rPh sb="3" eb="5">
      <t>カモク</t>
    </rPh>
    <phoneticPr fontId="6"/>
  </si>
  <si>
    <t>※受講人数は受講者登録表から反映されます。</t>
    <rPh sb="1" eb="3">
      <t>ジュコウ</t>
    </rPh>
    <rPh sb="3" eb="5">
      <t>ニンズウ</t>
    </rPh>
    <rPh sb="6" eb="9">
      <t>ジュコウシャ</t>
    </rPh>
    <rPh sb="9" eb="12">
      <t>トウロクヒョウ</t>
    </rPh>
    <rPh sb="14" eb="16">
      <t>ハンエイ</t>
    </rPh>
    <phoneticPr fontId="6"/>
  </si>
  <si>
    <t>※コースコード・期間・単価は自動表示されます。</t>
    <rPh sb="8" eb="10">
      <t>キカン</t>
    </rPh>
    <rPh sb="11" eb="13">
      <t>タンカ</t>
    </rPh>
    <rPh sb="14" eb="16">
      <t>ジドウ</t>
    </rPh>
    <rPh sb="16" eb="18">
      <t>ヒョウジ</t>
    </rPh>
    <phoneticPr fontId="6"/>
  </si>
  <si>
    <t>←例　　  　</t>
    <rPh sb="1" eb="2">
      <t>レイ</t>
    </rPh>
    <phoneticPr fontId="6"/>
  </si>
  <si>
    <t>受講期間
（ヶ月）</t>
    <rPh sb="0" eb="2">
      <t>ジュコウ</t>
    </rPh>
    <rPh sb="2" eb="4">
      <t>キカン</t>
    </rPh>
    <rPh sb="7" eb="8">
      <t>ゲツ</t>
    </rPh>
    <phoneticPr fontId="23"/>
  </si>
  <si>
    <r>
      <t>「eラーニング講座（eライブラリ）」　申込書</t>
    </r>
    <r>
      <rPr>
        <b/>
        <sz val="12"/>
        <color theme="0"/>
        <rFont val="Meiryo UI"/>
        <family val="3"/>
        <charset val="128"/>
      </rPr>
      <t>（兼）</t>
    </r>
    <r>
      <rPr>
        <b/>
        <sz val="18"/>
        <color theme="0"/>
        <rFont val="Meiryo UI"/>
        <family val="3"/>
        <charset val="128"/>
      </rPr>
      <t>注文書</t>
    </r>
    <rPh sb="7" eb="9">
      <t>コウザ</t>
    </rPh>
    <rPh sb="19" eb="21">
      <t>モウシコミ</t>
    </rPh>
    <rPh sb="21" eb="22">
      <t>ショ</t>
    </rPh>
    <rPh sb="23" eb="24">
      <t>ケン</t>
    </rPh>
    <rPh sb="25" eb="28">
      <t>チュウモンショ</t>
    </rPh>
    <phoneticPr fontId="10"/>
  </si>
  <si>
    <r>
      <t>記入日</t>
    </r>
    <r>
      <rPr>
        <b/>
        <sz val="12"/>
        <color rgb="FFFF0000"/>
        <rFont val="Meiryo UI"/>
        <family val="3"/>
        <charset val="128"/>
      </rPr>
      <t>※</t>
    </r>
    <rPh sb="0" eb="2">
      <t>キニュウ</t>
    </rPh>
    <phoneticPr fontId="23"/>
  </si>
  <si>
    <t>正式お申込とさせて頂きます。</t>
    <phoneticPr fontId="6"/>
  </si>
  <si>
    <t>Flag</t>
    <phoneticPr fontId="6"/>
  </si>
  <si>
    <t>予備</t>
    <rPh sb="0" eb="2">
      <t>ヨビ</t>
    </rPh>
    <phoneticPr fontId="6"/>
  </si>
  <si>
    <t>ユーザー名</t>
  </si>
  <si>
    <t>メールアドレス</t>
  </si>
  <si>
    <t>パスワード</t>
  </si>
  <si>
    <t>ID有効期間開始日</t>
  </si>
  <si>
    <t>ID有効期間終了日</t>
  </si>
  <si>
    <t>所属コード</t>
  </si>
  <si>
    <t>受講者種別</t>
  </si>
  <si>
    <t>管理者ロール</t>
  </si>
  <si>
    <t>管理担当所属コード</t>
  </si>
  <si>
    <t>管理担当コースカテゴリコード</t>
  </si>
  <si>
    <t>↓データエラーチェック</t>
    <phoneticPr fontId="6"/>
  </si>
  <si>
    <t>D列計</t>
    <rPh sb="1" eb="2">
      <t>レツ</t>
    </rPh>
    <rPh sb="2" eb="3">
      <t>ケイ</t>
    </rPh>
    <phoneticPr fontId="6"/>
  </si>
  <si>
    <t>K-V計</t>
    <rPh sb="3" eb="4">
      <t>ケイ</t>
    </rPh>
    <phoneticPr fontId="6"/>
  </si>
  <si>
    <t>↓C列チェック</t>
    <rPh sb="2" eb="3">
      <t>レツ</t>
    </rPh>
    <phoneticPr fontId="6"/>
  </si>
  <si>
    <t>登録表</t>
    <rPh sb="0" eb="3">
      <t>トウロクヒョウ</t>
    </rPh>
    <phoneticPr fontId="6"/>
  </si>
  <si>
    <t>チェック</t>
    <phoneticPr fontId="6"/>
  </si>
  <si>
    <t>←エラーチェック</t>
    <phoneticPr fontId="6"/>
  </si>
  <si>
    <t>ﾒﾙなし</t>
    <phoneticPr fontId="6"/>
  </si>
  <si>
    <t>…口座選択なし</t>
    <rPh sb="1" eb="3">
      <t>コウザ</t>
    </rPh>
    <rPh sb="3" eb="5">
      <t>センタク</t>
    </rPh>
    <phoneticPr fontId="6"/>
  </si>
  <si>
    <t>上記２項目の内容はホームページをご参照下さい。</t>
    <rPh sb="0" eb="2">
      <t>ジョウキ</t>
    </rPh>
    <rPh sb="3" eb="5">
      <t>コウモク</t>
    </rPh>
    <rPh sb="6" eb="8">
      <t>ナイヨウ</t>
    </rPh>
    <rPh sb="17" eb="19">
      <t>サンショウ</t>
    </rPh>
    <rPh sb="19" eb="20">
      <t>クダ</t>
    </rPh>
    <phoneticPr fontId="6"/>
  </si>
  <si>
    <t>受付日</t>
    <rPh sb="0" eb="3">
      <t>ウケツケビ</t>
    </rPh>
    <phoneticPr fontId="34"/>
  </si>
  <si>
    <t>活動状況</t>
    <rPh sb="0" eb="4">
      <t>カツドウジョウキョウ</t>
    </rPh>
    <phoneticPr fontId="34"/>
  </si>
  <si>
    <t>きっかけ</t>
    <phoneticPr fontId="34"/>
  </si>
  <si>
    <t>★コード</t>
    <phoneticPr fontId="34"/>
  </si>
  <si>
    <t>★受講開始日</t>
    <rPh sb="1" eb="3">
      <t>ジュコウ</t>
    </rPh>
    <rPh sb="3" eb="5">
      <t>カイシ</t>
    </rPh>
    <phoneticPr fontId="34"/>
  </si>
  <si>
    <t>部課コード</t>
    <rPh sb="0" eb="2">
      <t>ブカ</t>
    </rPh>
    <phoneticPr fontId="34"/>
  </si>
  <si>
    <t>売上月</t>
    <rPh sb="0" eb="2">
      <t>ウリアゲ</t>
    </rPh>
    <rPh sb="2" eb="3">
      <t>ツキ</t>
    </rPh>
    <phoneticPr fontId="34"/>
  </si>
  <si>
    <r>
      <t xml:space="preserve">★お会社名・団体名
</t>
    </r>
    <r>
      <rPr>
        <b/>
        <u/>
        <sz val="9"/>
        <color theme="0"/>
        <rFont val="游ゴシック"/>
        <family val="3"/>
        <charset val="128"/>
        <scheme val="minor"/>
      </rPr>
      <t>※社内からの受注の場合は部署名も入力</t>
    </r>
    <rPh sb="2" eb="5">
      <t>カイシャメイ</t>
    </rPh>
    <rPh sb="6" eb="8">
      <t>ダンタイ</t>
    </rPh>
    <rPh sb="8" eb="9">
      <t>メイ</t>
    </rPh>
    <phoneticPr fontId="34"/>
  </si>
  <si>
    <t>都道府県</t>
    <rPh sb="0" eb="4">
      <t>トドウフケン</t>
    </rPh>
    <phoneticPr fontId="34"/>
  </si>
  <si>
    <t>受取済み</t>
  </si>
  <si>
    <t>feeA</t>
    <phoneticPr fontId="34"/>
  </si>
  <si>
    <t>営業</t>
    <rPh sb="0" eb="2">
      <t>エイギョウ</t>
    </rPh>
    <phoneticPr fontId="34"/>
  </si>
  <si>
    <t>fee2</t>
  </si>
  <si>
    <t>創研営業マンによる案内</t>
    <phoneticPr fontId="6"/>
  </si>
  <si>
    <t>創研ホームページ</t>
    <phoneticPr fontId="6"/>
  </si>
  <si>
    <t>創研メールマガジン</t>
    <phoneticPr fontId="6"/>
  </si>
  <si>
    <t>パナソニックBIZサイトメールマガジン</t>
    <phoneticPr fontId="6"/>
  </si>
  <si>
    <t>各種メディア・媒体(新聞・雑誌）</t>
    <phoneticPr fontId="6"/>
  </si>
  <si>
    <t>その他</t>
    <phoneticPr fontId="6"/>
  </si>
  <si>
    <t>HP</t>
    <phoneticPr fontId="6"/>
  </si>
  <si>
    <t>DM</t>
    <phoneticPr fontId="6"/>
  </si>
  <si>
    <t>メルマガ</t>
    <phoneticPr fontId="6"/>
  </si>
  <si>
    <t>センター・グループ</t>
    <phoneticPr fontId="34"/>
  </si>
  <si>
    <t>00D01</t>
  </si>
  <si>
    <t>00D02</t>
  </si>
  <si>
    <t>00K01</t>
  </si>
  <si>
    <t>00K02</t>
  </si>
  <si>
    <t>00K03</t>
  </si>
  <si>
    <t>00K04</t>
  </si>
  <si>
    <t>00S01</t>
  </si>
  <si>
    <t>00S02</t>
  </si>
  <si>
    <t>00S03</t>
  </si>
  <si>
    <t>fee0</t>
    <phoneticPr fontId="34"/>
  </si>
  <si>
    <t>設定料</t>
    <rPh sb="0" eb="2">
      <t>セッテイ</t>
    </rPh>
    <rPh sb="2" eb="3">
      <t>リョウ</t>
    </rPh>
    <phoneticPr fontId="34"/>
  </si>
  <si>
    <t>基本設定料　なし（営業采配）</t>
    <rPh sb="0" eb="2">
      <t>キホン</t>
    </rPh>
    <rPh sb="2" eb="5">
      <t>セッテイリョウ</t>
    </rPh>
    <rPh sb="9" eb="11">
      <t>エイギョウ</t>
    </rPh>
    <rPh sb="11" eb="13">
      <t>サイハイ</t>
    </rPh>
    <phoneticPr fontId="34"/>
  </si>
  <si>
    <t>fee1</t>
  </si>
  <si>
    <t>基本設定料　5,000円</t>
    <rPh sb="0" eb="2">
      <t>キホン</t>
    </rPh>
    <rPh sb="2" eb="5">
      <t>セッテイリョウ</t>
    </rPh>
    <rPh sb="7" eb="12">
      <t>０００エン</t>
    </rPh>
    <phoneticPr fontId="34"/>
  </si>
  <si>
    <t>基本設定料　10,000円</t>
    <rPh sb="0" eb="2">
      <t>キホン</t>
    </rPh>
    <rPh sb="2" eb="5">
      <t>セッテイリョウ</t>
    </rPh>
    <rPh sb="8" eb="13">
      <t>０００エン</t>
    </rPh>
    <phoneticPr fontId="34"/>
  </si>
  <si>
    <t>fee3</t>
  </si>
  <si>
    <t>基本設定料　20,000円</t>
    <rPh sb="0" eb="2">
      <t>キホン</t>
    </rPh>
    <rPh sb="2" eb="5">
      <t>セッテイリョウ</t>
    </rPh>
    <rPh sb="12" eb="13">
      <t>エン</t>
    </rPh>
    <phoneticPr fontId="34"/>
  </si>
  <si>
    <t>fee4</t>
  </si>
  <si>
    <t>基本設定料　30,000円</t>
    <rPh sb="0" eb="2">
      <t>キホン</t>
    </rPh>
    <rPh sb="2" eb="5">
      <t>セッテイリョウ</t>
    </rPh>
    <rPh sb="8" eb="13">
      <t>０００エン</t>
    </rPh>
    <phoneticPr fontId="34"/>
  </si>
  <si>
    <t>基本設定料　60,000円</t>
    <rPh sb="0" eb="2">
      <t>キホン</t>
    </rPh>
    <rPh sb="2" eb="5">
      <t>セッテイリョウ０００エン</t>
    </rPh>
    <rPh sb="12" eb="13">
      <t>エン</t>
    </rPh>
    <phoneticPr fontId="34"/>
  </si>
  <si>
    <t>feeB</t>
    <phoneticPr fontId="34"/>
  </si>
  <si>
    <t>基本設定料　　　　　円</t>
    <rPh sb="0" eb="2">
      <t>キホン</t>
    </rPh>
    <rPh sb="2" eb="5">
      <t>セッテイリョウ</t>
    </rPh>
    <rPh sb="10" eb="11">
      <t>エン</t>
    </rPh>
    <phoneticPr fontId="34"/>
  </si>
  <si>
    <t>feeC</t>
    <phoneticPr fontId="34"/>
  </si>
  <si>
    <t>きっかけ</t>
    <phoneticPr fontId="6"/>
  </si>
  <si>
    <t>Fee</t>
    <phoneticPr fontId="6"/>
  </si>
  <si>
    <t>区分</t>
    <rPh sb="0" eb="2">
      <t>クブン</t>
    </rPh>
    <phoneticPr fontId="6"/>
  </si>
  <si>
    <t>★数量</t>
    <rPh sb="1" eb="3">
      <t>スウリョウ</t>
    </rPh>
    <phoneticPr fontId="34"/>
  </si>
  <si>
    <t>単価C</t>
    <rPh sb="0" eb="2">
      <t>タンカ</t>
    </rPh>
    <phoneticPr fontId="6"/>
  </si>
  <si>
    <t>BIZサイト</t>
    <phoneticPr fontId="6"/>
  </si>
  <si>
    <t>メディア</t>
    <phoneticPr fontId="6"/>
  </si>
  <si>
    <t>経理担当</t>
    <rPh sb="0" eb="2">
      <t>ケイリ</t>
    </rPh>
    <rPh sb="2" eb="4">
      <t>タントウ</t>
    </rPh>
    <phoneticPr fontId="34"/>
  </si>
  <si>
    <t>00M02</t>
  </si>
  <si>
    <t>会社名</t>
    <rPh sb="0" eb="2">
      <t>カイシャ</t>
    </rPh>
    <rPh sb="2" eb="3">
      <t>メイ</t>
    </rPh>
    <phoneticPr fontId="6"/>
  </si>
  <si>
    <t>住所</t>
    <rPh sb="0" eb="2">
      <t>ジュウショ</t>
    </rPh>
    <phoneticPr fontId="6"/>
  </si>
  <si>
    <t>部署</t>
    <rPh sb="0" eb="2">
      <t>ブショ</t>
    </rPh>
    <phoneticPr fontId="6"/>
  </si>
  <si>
    <t>担当者</t>
    <rPh sb="0" eb="3">
      <t>タントウシャ</t>
    </rPh>
    <phoneticPr fontId="6"/>
  </si>
  <si>
    <t>電話番号</t>
    <rPh sb="0" eb="2">
      <t>デンワ</t>
    </rPh>
    <rPh sb="2" eb="4">
      <t>バンゴウ</t>
    </rPh>
    <phoneticPr fontId="6"/>
  </si>
  <si>
    <t>携帯</t>
    <rPh sb="0" eb="2">
      <t>ケイタイ</t>
    </rPh>
    <phoneticPr fontId="6"/>
  </si>
  <si>
    <t>メールアドレス</t>
    <phoneticPr fontId="6"/>
  </si>
  <si>
    <t>役職</t>
    <rPh sb="0" eb="2">
      <t>ヤクショク</t>
    </rPh>
    <phoneticPr fontId="6"/>
  </si>
  <si>
    <t>代表者名</t>
    <rPh sb="0" eb="3">
      <t>ダイヒョウシャ</t>
    </rPh>
    <rPh sb="3" eb="4">
      <t>メイ</t>
    </rPh>
    <phoneticPr fontId="6"/>
  </si>
  <si>
    <t>〒</t>
    <phoneticPr fontId="6"/>
  </si>
  <si>
    <t>部課</t>
    <rPh sb="0" eb="2">
      <t>ブカ</t>
    </rPh>
    <phoneticPr fontId="6"/>
  </si>
  <si>
    <t>受講数</t>
    <rPh sb="0" eb="3">
      <t>ジュコウスウ</t>
    </rPh>
    <phoneticPr fontId="6"/>
  </si>
  <si>
    <t>案内</t>
    <rPh sb="0" eb="2">
      <t>アンナイ</t>
    </rPh>
    <phoneticPr fontId="6"/>
  </si>
  <si>
    <t>入金</t>
    <rPh sb="0" eb="2">
      <t>ニュウキン</t>
    </rPh>
    <phoneticPr fontId="6"/>
  </si>
  <si>
    <t>売上</t>
    <rPh sb="0" eb="2">
      <t>ウリ</t>
    </rPh>
    <phoneticPr fontId="6"/>
  </si>
  <si>
    <t>開始日</t>
    <rPh sb="0" eb="3">
      <t>カイシビ</t>
    </rPh>
    <phoneticPr fontId="6"/>
  </si>
  <si>
    <t>相手先</t>
    <rPh sb="0" eb="3">
      <t>アイテサキ</t>
    </rPh>
    <phoneticPr fontId="6"/>
  </si>
  <si>
    <r>
      <t>申込数及び受講料と設定料込みの金額が表示されていますので</t>
    </r>
    <r>
      <rPr>
        <sz val="16"/>
        <color rgb="FFFF0000"/>
        <rFont val="ＭＳ Ｐゴシック"/>
        <family val="3"/>
        <charset val="128"/>
      </rPr>
      <t>ご確認</t>
    </r>
    <r>
      <rPr>
        <sz val="16"/>
        <color theme="1"/>
        <rFont val="ＭＳ Ｐゴシック"/>
        <family val="3"/>
        <charset val="128"/>
      </rPr>
      <t>下さい。</t>
    </r>
    <rPh sb="9" eb="12">
      <t>セッテイリョウ</t>
    </rPh>
    <rPh sb="12" eb="13">
      <t>コ</t>
    </rPh>
    <rPh sb="15" eb="17">
      <t>キンガク</t>
    </rPh>
    <phoneticPr fontId="6"/>
  </si>
  <si>
    <t>担当</t>
    <rPh sb="0" eb="2">
      <t>タントウ</t>
    </rPh>
    <phoneticPr fontId="6"/>
  </si>
  <si>
    <t>設定料</t>
    <rPh sb="0" eb="3">
      <t>セッテイリョウ</t>
    </rPh>
    <phoneticPr fontId="6"/>
  </si>
  <si>
    <t>受講数</t>
    <rPh sb="0" eb="3">
      <t>ジュコウスウ</t>
    </rPh>
    <phoneticPr fontId="6"/>
  </si>
  <si>
    <t>　（下記では３講座を選択しています）</t>
    <phoneticPr fontId="6"/>
  </si>
  <si>
    <t>エラ｜
チエツク↓</t>
    <phoneticPr fontId="6"/>
  </si>
  <si>
    <t>講〇人×</t>
    <rPh sb="0" eb="1">
      <t>コウ</t>
    </rPh>
    <rPh sb="2" eb="3">
      <t>ヒト</t>
    </rPh>
    <phoneticPr fontId="6"/>
  </si>
  <si>
    <t>ﾒﾙ全角</t>
    <rPh sb="2" eb="4">
      <t>ゼンカク</t>
    </rPh>
    <phoneticPr fontId="6"/>
  </si>
  <si>
    <t>講×人〇</t>
    <rPh sb="0" eb="1">
      <t>コウ</t>
    </rPh>
    <rPh sb="2" eb="3">
      <t>ヒト</t>
    </rPh>
    <phoneticPr fontId="6"/>
  </si>
  <si>
    <t>講〇ﾒﾙ×</t>
    <rPh sb="0" eb="1">
      <t>コウ</t>
    </rPh>
    <phoneticPr fontId="6"/>
  </si>
  <si>
    <t>ALLOK</t>
    <phoneticPr fontId="6"/>
  </si>
  <si>
    <t>登録
エラー</t>
    <rPh sb="0" eb="2">
      <t>トウロク</t>
    </rPh>
    <phoneticPr fontId="6"/>
  </si>
  <si>
    <t>受講費</t>
    <rPh sb="0" eb="2">
      <t>ジュコウ</t>
    </rPh>
    <rPh sb="2" eb="3">
      <t>ヒ</t>
    </rPh>
    <phoneticPr fontId="10"/>
  </si>
  <si>
    <t>設定料</t>
    <rPh sb="0" eb="3">
      <t>セッテイリョウ</t>
    </rPh>
    <phoneticPr fontId="34"/>
  </si>
  <si>
    <t>売上金額
（税抜）</t>
    <rPh sb="0" eb="2">
      <t>ウリアゲ</t>
    </rPh>
    <rPh sb="2" eb="4">
      <t>キンガク</t>
    </rPh>
    <rPh sb="6" eb="7">
      <t>ゼイ</t>
    </rPh>
    <rPh sb="7" eb="8">
      <t>ヌ</t>
    </rPh>
    <phoneticPr fontId="34"/>
  </si>
  <si>
    <t>短縮がこれで良いか確認</t>
    <rPh sb="0" eb="2">
      <t>タンシュク</t>
    </rPh>
    <rPh sb="6" eb="7">
      <t>ヨ</t>
    </rPh>
    <rPh sb="9" eb="11">
      <t>カクニン</t>
    </rPh>
    <phoneticPr fontId="6"/>
  </si>
  <si>
    <t>相手先コード</t>
    <rPh sb="0" eb="2">
      <t>アイテ</t>
    </rPh>
    <rPh sb="2" eb="3">
      <t>サキ</t>
    </rPh>
    <phoneticPr fontId="6"/>
  </si>
  <si>
    <t>電材
管理用</t>
    <rPh sb="0" eb="2">
      <t>デンザイ</t>
    </rPh>
    <rPh sb="3" eb="6">
      <t>カンリヨウ</t>
    </rPh>
    <phoneticPr fontId="6"/>
  </si>
  <si>
    <t>Ch1</t>
    <phoneticPr fontId="6"/>
  </si>
  <si>
    <t>Ch2</t>
    <phoneticPr fontId="6"/>
  </si>
  <si>
    <t>Ch3</t>
    <phoneticPr fontId="6"/>
  </si>
  <si>
    <t>付替</t>
    <rPh sb="0" eb="1">
      <t>ツ</t>
    </rPh>
    <rPh sb="1" eb="2">
      <t>カ</t>
    </rPh>
    <phoneticPr fontId="6"/>
  </si>
  <si>
    <t>　※申込年月日は半角入力でお願いします。（例：2020/02/02）
　※受講開始希望日・業種・申込のきっかけは、プルダウン選択にしています。　</t>
    <rPh sb="2" eb="4">
      <t>モウシコミ</t>
    </rPh>
    <rPh sb="4" eb="6">
      <t>ネンゲツ</t>
    </rPh>
    <rPh sb="6" eb="7">
      <t>ビ</t>
    </rPh>
    <rPh sb="21" eb="22">
      <t>レイ</t>
    </rPh>
    <rPh sb="45" eb="47">
      <t>ギョウシュ</t>
    </rPh>
    <phoneticPr fontId="10"/>
  </si>
  <si>
    <t>２シート目の「申込書」の上段の赤枠の部分（下図参照）にご記入下さい。</t>
    <phoneticPr fontId="6"/>
  </si>
  <si>
    <r>
      <rPr>
        <sz val="16"/>
        <color rgb="FFFF0000"/>
        <rFont val="ＭＳ Ｐゴシック"/>
        <family val="3"/>
        <charset val="128"/>
      </rPr>
      <t>「未入力の必須入力項目があります」</t>
    </r>
    <r>
      <rPr>
        <sz val="16"/>
        <color theme="1"/>
        <rFont val="ＭＳ Ｐゴシック"/>
        <family val="3"/>
        <charset val="128"/>
      </rPr>
      <t>と表示されます。</t>
    </r>
    <phoneticPr fontId="6"/>
  </si>
  <si>
    <t>３シート目の「受講者登録表」に受講者の方の氏名、Ｅメールアドレスをご記入し、</t>
    <phoneticPr fontId="6"/>
  </si>
  <si>
    <t>SEA007</t>
  </si>
  <si>
    <t>SEA008</t>
  </si>
  <si>
    <t>SEA006</t>
    <phoneticPr fontId="6"/>
  </si>
  <si>
    <t>e-電気の基礎知識</t>
    <phoneticPr fontId="6"/>
  </si>
  <si>
    <t>e-住宅のエネルギーマネジメントシステムの基礎</t>
    <phoneticPr fontId="6"/>
  </si>
  <si>
    <t>パナソニック「DENZAI TERASU」</t>
    <phoneticPr fontId="6"/>
  </si>
  <si>
    <t>電材テラス</t>
    <rPh sb="0" eb="2">
      <t>デンザイ</t>
    </rPh>
    <phoneticPr fontId="6"/>
  </si>
  <si>
    <t>パナソニック「denzai emotion」</t>
    <phoneticPr fontId="6"/>
  </si>
  <si>
    <t>エモーション</t>
    <phoneticPr fontId="6"/>
  </si>
  <si>
    <t>チラシ（ダイレクトメール）</t>
    <phoneticPr fontId="6"/>
  </si>
  <si>
    <t>WEB広告（yahoo,Google）</t>
    <rPh sb="3" eb="5">
      <t>コウコク</t>
    </rPh>
    <phoneticPr fontId="6"/>
  </si>
  <si>
    <t>WEB広告</t>
    <rPh sb="3" eb="5">
      <t>コウコク</t>
    </rPh>
    <phoneticPr fontId="6"/>
  </si>
  <si>
    <t>憲法記念日</t>
    <rPh sb="0" eb="5">
      <t>ケンポウキネンビ</t>
    </rPh>
    <phoneticPr fontId="6"/>
  </si>
  <si>
    <t>みどりの日</t>
    <rPh sb="4" eb="5">
      <t>ヒ</t>
    </rPh>
    <phoneticPr fontId="6"/>
  </si>
  <si>
    <t>こどもの日</t>
    <rPh sb="4" eb="5">
      <t>ヒ</t>
    </rPh>
    <phoneticPr fontId="6"/>
  </si>
  <si>
    <t>海の日</t>
    <rPh sb="0" eb="1">
      <t>ウミ</t>
    </rPh>
    <rPh sb="2" eb="3">
      <t>ヒ</t>
    </rPh>
    <phoneticPr fontId="6"/>
  </si>
  <si>
    <t>開講日</t>
    <rPh sb="0" eb="3">
      <t>カイコウビ</t>
    </rPh>
    <phoneticPr fontId="34"/>
  </si>
  <si>
    <t>きっかけ</t>
    <phoneticPr fontId="6"/>
  </si>
  <si>
    <t>=IF(O13&lt;&gt;"",(VLOOKUP(申込書!F$24,きっかけ,2,FALSE)),"")</t>
    <phoneticPr fontId="6"/>
  </si>
  <si>
    <t>N</t>
    <phoneticPr fontId="6"/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</si>
  <si>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</si>
  <si>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</si>
  <si>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</si>
  <si>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</si>
  <si>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</si>
  <si>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</si>
  <si>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</si>
  <si>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</si>
  <si>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</si>
  <si>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</si>
  <si>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企画</t>
    <rPh sb="0" eb="2">
      <t>キカク</t>
    </rPh>
    <phoneticPr fontId="6"/>
  </si>
  <si>
    <t>※日本国内においてのみ、本サービスをご利用ください</t>
    <phoneticPr fontId="6"/>
  </si>
  <si>
    <t>※受講者以外の第三者へのアカウントの譲渡、貸与、利用はご遠慮ください</t>
    <phoneticPr fontId="6"/>
  </si>
  <si>
    <t>e-マンションリフォーム営業スキル</t>
    <rPh sb="12" eb="14">
      <t>エイギョウ</t>
    </rPh>
    <phoneticPr fontId="6"/>
  </si>
  <si>
    <t>SEB010</t>
    <phoneticPr fontId="6"/>
  </si>
  <si>
    <t>住建系スキル</t>
    <rPh sb="0" eb="3">
      <t>ジュウケンケイ</t>
    </rPh>
    <phoneticPr fontId="6"/>
  </si>
  <si>
    <t>SEA009</t>
    <phoneticPr fontId="6"/>
  </si>
  <si>
    <t>SEA010</t>
    <phoneticPr fontId="6"/>
  </si>
  <si>
    <t>e-情報通信の基礎</t>
    <phoneticPr fontId="6"/>
  </si>
  <si>
    <t>e-ＳＤＧｓの基礎</t>
    <phoneticPr fontId="6"/>
  </si>
  <si>
    <t>天皇誕生日</t>
    <rPh sb="0" eb="5">
      <t>テンノウタンジョウビ</t>
    </rPh>
    <phoneticPr fontId="6"/>
  </si>
  <si>
    <t>春分の日</t>
    <rPh sb="0" eb="2">
      <t>シュンブン</t>
    </rPh>
    <rPh sb="3" eb="4">
      <t>ヒ</t>
    </rPh>
    <phoneticPr fontId="6"/>
  </si>
  <si>
    <t>パナソニック エレクトリックワークス創研株式会社　御中</t>
    <rPh sb="25" eb="27">
      <t>オンチュウ</t>
    </rPh>
    <phoneticPr fontId="10"/>
  </si>
  <si>
    <t>（利用約款はホームページよりご確認いただけます。https://panasonic.co.jp/ew/pewbct/e-library/index.html#kakunin）</t>
    <rPh sb="1" eb="5">
      <t>リヨウヤッカン</t>
    </rPh>
    <rPh sb="15" eb="17">
      <t>カクニン</t>
    </rPh>
    <phoneticPr fontId="6"/>
  </si>
  <si>
    <t>成人の日</t>
    <rPh sb="0" eb="2">
      <t>セイジン</t>
    </rPh>
    <rPh sb="3" eb="4">
      <t>ヒ</t>
    </rPh>
    <phoneticPr fontId="6"/>
  </si>
  <si>
    <t>受講案内発信日</t>
    <rPh sb="0" eb="2">
      <t>ジュコウ</t>
    </rPh>
    <rPh sb="2" eb="4">
      <t>アンナイ</t>
    </rPh>
    <rPh sb="4" eb="6">
      <t>ハッシン</t>
    </rPh>
    <rPh sb="6" eb="7">
      <t>ビ</t>
    </rPh>
    <phoneticPr fontId="6"/>
  </si>
  <si>
    <t>3営業日</t>
    <rPh sb="1" eb="4">
      <t>エイギョウビ</t>
    </rPh>
    <phoneticPr fontId="6"/>
  </si>
  <si>
    <t>00B03</t>
  </si>
  <si>
    <t>00B01</t>
  </si>
  <si>
    <t>HS推進グループ</t>
    <phoneticPr fontId="6"/>
  </si>
  <si>
    <t>00B02</t>
  </si>
  <si>
    <t>00B04</t>
  </si>
  <si>
    <t>00B05</t>
  </si>
  <si>
    <t>00B06</t>
  </si>
  <si>
    <t>門真研修所</t>
    <rPh sb="0" eb="2">
      <t>カドマ</t>
    </rPh>
    <rPh sb="2" eb="5">
      <t>ケンシュウショ</t>
    </rPh>
    <phoneticPr fontId="2"/>
  </si>
  <si>
    <t>東京研修所</t>
    <rPh sb="0" eb="2">
      <t>トウキョウ</t>
    </rPh>
    <rPh sb="2" eb="5">
      <t>ケンシュウショ</t>
    </rPh>
    <phoneticPr fontId="2"/>
  </si>
  <si>
    <t>高槻研修所</t>
    <rPh sb="0" eb="2">
      <t>タカツキ</t>
    </rPh>
    <rPh sb="2" eb="5">
      <t>ケンシュウショ</t>
    </rPh>
    <phoneticPr fontId="2"/>
  </si>
  <si>
    <t>津研修所</t>
    <rPh sb="0" eb="1">
      <t>ツ</t>
    </rPh>
    <rPh sb="1" eb="4">
      <t>ケンシュウショ</t>
    </rPh>
    <phoneticPr fontId="2"/>
  </si>
  <si>
    <t>新潟研修所</t>
    <rPh sb="0" eb="2">
      <t>ニイガタ</t>
    </rPh>
    <rPh sb="2" eb="5">
      <t>ケンシュウショ</t>
    </rPh>
    <phoneticPr fontId="2"/>
  </si>
  <si>
    <t>九州研修所</t>
    <rPh sb="0" eb="2">
      <t>キュウシュウ</t>
    </rPh>
    <rPh sb="2" eb="5">
      <t>ケンシュウショ</t>
    </rPh>
    <phoneticPr fontId="2"/>
  </si>
  <si>
    <t>00E01</t>
    <phoneticPr fontId="6"/>
  </si>
  <si>
    <t>電材推進グループ</t>
    <phoneticPr fontId="6"/>
  </si>
  <si>
    <t>00M01</t>
    <phoneticPr fontId="6"/>
  </si>
  <si>
    <t>00K07</t>
  </si>
  <si>
    <t>00L01</t>
  </si>
  <si>
    <t>00K05</t>
  </si>
  <si>
    <t>00L02</t>
  </si>
  <si>
    <t>00D05</t>
  </si>
  <si>
    <t>00K08</t>
  </si>
  <si>
    <t>HS製造</t>
    <phoneticPr fontId="6"/>
  </si>
  <si>
    <t>ＥＷ営業推進グループ(東)</t>
    <phoneticPr fontId="6"/>
  </si>
  <si>
    <t>流通開発チーム</t>
    <phoneticPr fontId="6"/>
  </si>
  <si>
    <t>製造開発チーム(東）</t>
    <phoneticPr fontId="6"/>
  </si>
  <si>
    <t>法人開発チーム(東）</t>
    <phoneticPr fontId="6"/>
  </si>
  <si>
    <t>公開研修(東)</t>
    <phoneticPr fontId="6"/>
  </si>
  <si>
    <t>ＥＷ営業推進グループ(西)</t>
    <phoneticPr fontId="6"/>
  </si>
  <si>
    <t>製造開発チーム(西）</t>
    <phoneticPr fontId="6"/>
  </si>
  <si>
    <t>法人開発チーム(西）</t>
    <phoneticPr fontId="6"/>
  </si>
  <si>
    <t>ＩＳＯ審査チーム</t>
    <phoneticPr fontId="6"/>
  </si>
  <si>
    <t>公開研修(西）</t>
    <phoneticPr fontId="6"/>
  </si>
  <si>
    <t>00D03</t>
  </si>
  <si>
    <t>00D04</t>
  </si>
  <si>
    <t>事業企画推進チーム</t>
    <phoneticPr fontId="6"/>
  </si>
  <si>
    <t>海外開発チーム</t>
    <phoneticPr fontId="6"/>
  </si>
  <si>
    <t>営業企画推進チーム</t>
    <phoneticPr fontId="6"/>
  </si>
  <si>
    <t>研修開発チーム</t>
    <phoneticPr fontId="6"/>
  </si>
  <si>
    <t>デジタルコンテンツ開発チーム</t>
    <phoneticPr fontId="6"/>
  </si>
  <si>
    <t>東日本研修推進チーム</t>
    <phoneticPr fontId="6"/>
  </si>
  <si>
    <t>西日本研修推進チーム</t>
    <phoneticPr fontId="6"/>
  </si>
  <si>
    <t>https://panasonic.co.jp/ew/pewbct/e-library/#kakunin</t>
    <phoneticPr fontId="6"/>
  </si>
  <si>
    <t>https://panasonic.co.jp/ew/pewbct/e-library/</t>
    <phoneticPr fontId="6"/>
  </si>
  <si>
    <t>ハラスメント防止講座（パワハラ対策）</t>
    <rPh sb="15" eb="17">
      <t>タイサク</t>
    </rPh>
    <phoneticPr fontId="3"/>
  </si>
  <si>
    <t>コンプライアンス基礎講座</t>
    <rPh sb="8" eb="12">
      <t>キソコウザ</t>
    </rPh>
    <phoneticPr fontId="3"/>
  </si>
  <si>
    <t>TCB019</t>
  </si>
  <si>
    <t>TCB020</t>
  </si>
  <si>
    <t>情報セキュリティ　ビジュアルで学ぶ情報セキュリティ　シリーズ１7．テレワーク</t>
    <phoneticPr fontId="6"/>
  </si>
  <si>
    <t>メーデー</t>
    <phoneticPr fontId="6"/>
  </si>
  <si>
    <t>一斉年休</t>
    <rPh sb="0" eb="4">
      <t>イッセイネンキュウ</t>
    </rPh>
    <phoneticPr fontId="6"/>
  </si>
  <si>
    <t>その他特別休日</t>
    <rPh sb="2" eb="3">
      <t>タ</t>
    </rPh>
    <rPh sb="3" eb="7">
      <t>トクベツキュウジツ</t>
    </rPh>
    <phoneticPr fontId="6"/>
  </si>
  <si>
    <t>山の日</t>
    <rPh sb="0" eb="1">
      <t>ヤマ</t>
    </rPh>
    <rPh sb="2" eb="3">
      <t>ヒ</t>
    </rPh>
    <phoneticPr fontId="6"/>
  </si>
  <si>
    <t>敬老の日</t>
    <rPh sb="0" eb="2">
      <t>ケイロウ</t>
    </rPh>
    <rPh sb="3" eb="4">
      <t>ヒ</t>
    </rPh>
    <phoneticPr fontId="6"/>
  </si>
  <si>
    <t>スポーツの日</t>
    <rPh sb="5" eb="6">
      <t>ヒ</t>
    </rPh>
    <phoneticPr fontId="6"/>
  </si>
  <si>
    <t>冬期休暇</t>
    <rPh sb="0" eb="4">
      <t>トウキキュウカ</t>
    </rPh>
    <phoneticPr fontId="6"/>
  </si>
  <si>
    <t>元旦</t>
    <rPh sb="0" eb="2">
      <t>ガンタン</t>
    </rPh>
    <phoneticPr fontId="6"/>
  </si>
  <si>
    <t>振替休日</t>
    <rPh sb="0" eb="4">
      <t>フリカエキュウジツ</t>
    </rPh>
    <phoneticPr fontId="6"/>
  </si>
  <si>
    <t>氏名</t>
  </si>
  <si>
    <t>昭和の日</t>
    <rPh sb="0" eb="2">
      <t>ショウワ</t>
    </rPh>
    <rPh sb="3" eb="4">
      <t>ヒ</t>
    </rPh>
    <phoneticPr fontId="6"/>
  </si>
  <si>
    <t>建国記念の日</t>
    <rPh sb="0" eb="2">
      <t>ケンコク</t>
    </rPh>
    <rPh sb="2" eb="4">
      <t>キネン</t>
    </rPh>
    <rPh sb="5" eb="6">
      <t>ヒ</t>
    </rPh>
    <phoneticPr fontId="6"/>
  </si>
  <si>
    <t>秋分の日</t>
    <rPh sb="0" eb="2">
      <t>シュウブン</t>
    </rPh>
    <rPh sb="3" eb="4">
      <t>ヒ</t>
    </rPh>
    <phoneticPr fontId="6"/>
  </si>
  <si>
    <t>振替休日</t>
    <rPh sb="0" eb="2">
      <t>フリカエ</t>
    </rPh>
    <rPh sb="2" eb="4">
      <t>キュウジツ</t>
    </rPh>
    <phoneticPr fontId="6"/>
  </si>
  <si>
    <t>文化の日</t>
    <rPh sb="0" eb="2">
      <t>ブンカ</t>
    </rPh>
    <rPh sb="3" eb="4">
      <t>ヒ</t>
    </rPh>
    <phoneticPr fontId="6"/>
  </si>
  <si>
    <t>TCD021</t>
    <phoneticPr fontId="6"/>
  </si>
  <si>
    <t>TCB021</t>
    <phoneticPr fontId="6"/>
  </si>
  <si>
    <t>ハラスメント防止講座（カスハラ対策）</t>
    <phoneticPr fontId="6"/>
  </si>
  <si>
    <t>例</t>
    <rPh sb="0" eb="1">
      <t>レイ</t>
    </rPh>
    <phoneticPr fontId="6"/>
  </si>
  <si>
    <t>特別休暇</t>
    <rPh sb="0" eb="4">
      <t>トクベツキュウカ</t>
    </rPh>
    <phoneticPr fontId="6"/>
  </si>
  <si>
    <t>2025.2更新（ver.16）</t>
    <rPh sb="6" eb="8">
      <t>コウシン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</si>
</sst>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1" formatCode="_ * #,##0_ ;_ * \-#,##0_ ;_ * &quot;-&quot;_ ;_ @_ "/>
    <numFmt numFmtId="176" formatCode="[$-F800]dddd\,\ mmmm\ dd\,\ yyyy"/>
    <numFmt numFmtId="177" formatCode="#"/>
    <numFmt numFmtId="178" formatCode="#,##0_);[Red]\(#,##0\)"/>
    <numFmt numFmtId="179" formatCode="#,###"/>
    <numFmt numFmtId="180" formatCode="0_);[Red]\(0\)"/>
    <numFmt numFmtId="181" formatCode="yyyy/mm/dd"/>
    <numFmt numFmtId="182" formatCode="#\ &quot;名&quot;"/>
    <numFmt numFmtId="183" formatCode="#&quot;名&quot;"/>
    <numFmt numFmtId="184" formatCode="yyyy/mm/dd\(aaa\)"/>
    <numFmt numFmtId="185" formatCode="000\-0000"/>
    <numFmt numFmtId="186" formatCode="#&quot; 名&quot;"/>
    <numFmt numFmtId="187" formatCode="0_ "/>
    <numFmt numFmtId="188" formatCode="yy/mm/dd"/>
    <numFmt numFmtId="189" formatCode="#\ &quot;ヶ月&quot;"/>
    <numFmt numFmtId="190" formatCode="0&quot;　講座&quot;"/>
    <numFmt numFmtId="191" formatCode="&quot;のべ &quot;##&quot;  講座&quot;"/>
    <numFmt numFmtId="192" formatCode="mm/dd"/>
    <numFmt numFmtId="193" formatCode="#,##0_ ;[Red]\-#,##0\ "/>
    <numFmt numFmtId="194" formatCode="#,##0_ "/>
    <numFmt numFmtId="195" formatCode="m/d"/>
    <numFmt numFmtId="196" formatCode="#&quot;　講座&quot;"/>
  </numFmts>
  <fonts count="144">
    <font>
      <sz val="11"/>
      <color theme="1"/>
      <name val="ＭＳ Ｐゴシック"/>
      <family val="2"/>
      <charset val="128"/>
    </font>
    <font>
      <sz val="18"/>
      <color theme="1"/>
      <name val="ＭＳ Ｐゴシック"/>
      <family val="2"/>
      <charset val="128"/>
    </font>
    <font>
      <sz val="18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scheme val="minor"/>
    </font>
    <font>
      <sz val="12"/>
      <color theme="1"/>
      <name val="HGPｺﾞｼｯｸM"/>
      <family val="3"/>
      <charset val="128"/>
    </font>
    <font>
      <sz val="6"/>
      <name val="ＭＳ Ｐゴシック"/>
      <family val="2"/>
      <charset val="128"/>
    </font>
    <font>
      <sz val="11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b/>
      <sz val="16"/>
      <color theme="0"/>
      <name val="Meiryo UI"/>
      <family val="3"/>
      <charset val="128"/>
    </font>
    <font>
      <sz val="6"/>
      <name val="ＭＳ Ｐゴシック"/>
      <family val="3"/>
      <charset val="128"/>
    </font>
    <font>
      <b/>
      <sz val="16"/>
      <color theme="0"/>
      <name val="HGPｺﾞｼｯｸM"/>
      <family val="3"/>
      <charset val="128"/>
    </font>
    <font>
      <sz val="11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10"/>
      <color theme="1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sz val="10.5"/>
      <color theme="1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sz val="12"/>
      <color rgb="FF00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4"/>
      <color theme="1"/>
      <name val="Meiryo UI"/>
      <family val="3"/>
      <charset val="128"/>
    </font>
    <font>
      <b/>
      <sz val="24"/>
      <color theme="1"/>
      <name val="ＭＳ ゴシック"/>
      <family val="3"/>
      <charset val="128"/>
    </font>
    <font>
      <sz val="24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9"/>
      <name val="Meiryo UI"/>
      <family val="3"/>
      <charset val="128"/>
    </font>
    <font>
      <sz val="12"/>
      <name val="Meiryo UI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游ゴシック Light"/>
      <family val="3"/>
      <charset val="128"/>
      <scheme val="major"/>
    </font>
    <font>
      <sz val="10"/>
      <name val="游ゴシック"/>
      <family val="3"/>
      <charset val="128"/>
      <scheme val="minor"/>
    </font>
    <font>
      <sz val="10"/>
      <color theme="0"/>
      <name val="游ゴシック"/>
      <family val="3"/>
      <charset val="128"/>
      <scheme val="minor"/>
    </font>
    <font>
      <sz val="10"/>
      <color theme="1"/>
      <name val="HGPｺﾞｼｯｸM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color theme="0"/>
      <name val="Meiryo UI"/>
      <family val="3"/>
      <charset val="128"/>
    </font>
    <font>
      <sz val="16"/>
      <color rgb="FFFF0000"/>
      <name val="ＭＳ Ｐゴシック"/>
      <family val="2"/>
      <charset val="128"/>
    </font>
    <font>
      <sz val="16"/>
      <color rgb="FFFF0000"/>
      <name val="ＭＳ Ｐゴシック"/>
      <family val="3"/>
      <charset val="128"/>
    </font>
    <font>
      <b/>
      <sz val="10"/>
      <color theme="1"/>
      <name val="Meiryo UI"/>
      <family val="3"/>
      <charset val="128"/>
    </font>
    <font>
      <sz val="9"/>
      <color rgb="FFFF0000"/>
      <name val="HGPｺﾞｼｯｸM"/>
      <family val="3"/>
      <charset val="128"/>
    </font>
    <font>
      <sz val="16"/>
      <color theme="1"/>
      <name val="Meiryo UI"/>
      <family val="3"/>
      <charset val="128"/>
    </font>
    <font>
      <sz val="14"/>
      <name val="Meiryo UI"/>
      <family val="3"/>
      <charset val="128"/>
    </font>
    <font>
      <u/>
      <sz val="14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12"/>
      <color theme="1"/>
      <name val="ＭＳ 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2"/>
      <color rgb="FFFF0000"/>
      <name val="Meiryo UI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10"/>
      <name val="ＭＳ Ｐゴシック"/>
      <family val="2"/>
      <charset val="128"/>
    </font>
    <font>
      <sz val="11"/>
      <color theme="0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11"/>
      <name val="游ゴシック"/>
      <family val="2"/>
      <charset val="128"/>
      <scheme val="minor"/>
    </font>
    <font>
      <b/>
      <sz val="16"/>
      <name val="ＭＳ 明朝"/>
      <family val="1"/>
      <charset val="128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ＭＳ Ｐゴシック"/>
      <family val="2"/>
      <charset val="128"/>
    </font>
    <font>
      <b/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6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14"/>
      <color theme="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color theme="0"/>
      <name val="ＭＳ Ｐゴシック"/>
      <family val="2"/>
      <charset val="128"/>
    </font>
    <font>
      <sz val="14"/>
      <color theme="0"/>
      <name val="ＭＳ Ｐゴシック"/>
      <family val="3"/>
      <charset val="128"/>
    </font>
    <font>
      <sz val="20"/>
      <color theme="1"/>
      <name val="Meiryo UI"/>
      <family val="3"/>
      <charset val="128"/>
    </font>
    <font>
      <sz val="16"/>
      <color theme="0"/>
      <name val="ＭＳ Ｐゴシック"/>
      <family val="3"/>
      <charset val="128"/>
    </font>
    <font>
      <sz val="16"/>
      <color theme="0"/>
      <name val="ＭＳ Ｐゴシック"/>
      <family val="2"/>
      <charset val="128"/>
    </font>
    <font>
      <sz val="16"/>
      <color theme="1"/>
      <name val="ＭＳ Ｐゴシック"/>
      <family val="3"/>
      <charset val="128"/>
    </font>
    <font>
      <sz val="18"/>
      <color theme="1"/>
      <name val="Meiryo UI"/>
      <family val="3"/>
      <charset val="128"/>
    </font>
    <font>
      <sz val="9"/>
      <color rgb="FFFF000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4"/>
      <color rgb="FFFF0000"/>
      <name val="游ゴシック"/>
      <family val="3"/>
      <charset val="128"/>
      <scheme val="minor"/>
    </font>
    <font>
      <b/>
      <sz val="12"/>
      <name val="ＭＳ 明朝"/>
      <family val="1"/>
      <charset val="128"/>
    </font>
    <font>
      <sz val="11"/>
      <color rgb="FFFF0000"/>
      <name val="Meiryo UI"/>
      <family val="3"/>
      <charset val="128"/>
    </font>
    <font>
      <sz val="12"/>
      <color rgb="FFFF0000"/>
      <name val="ＭＳ Ｐゴシック"/>
      <family val="2"/>
      <charset val="128"/>
    </font>
    <font>
      <sz val="14"/>
      <color theme="0"/>
      <name val="Meiryo UI"/>
      <family val="3"/>
      <charset val="128"/>
    </font>
    <font>
      <b/>
      <sz val="14"/>
      <color theme="3" tint="0.79998168889431442"/>
      <name val="Meiryo UI"/>
      <family val="3"/>
      <charset val="128"/>
    </font>
    <font>
      <sz val="14"/>
      <color theme="1"/>
      <name val="游ゴシック"/>
      <family val="2"/>
      <charset val="128"/>
      <scheme val="minor"/>
    </font>
    <font>
      <sz val="20"/>
      <color theme="0"/>
      <name val="游ゴシック"/>
      <family val="2"/>
      <charset val="128"/>
      <scheme val="minor"/>
    </font>
    <font>
      <b/>
      <sz val="12"/>
      <color theme="0"/>
      <name val="Meiryo UI"/>
      <family val="3"/>
      <charset val="128"/>
    </font>
    <font>
      <sz val="16"/>
      <color theme="0"/>
      <name val="Meiryo UI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FF0000"/>
      <name val="ＭＳ Ｐゴシック"/>
      <family val="2"/>
      <charset val="128"/>
    </font>
    <font>
      <sz val="12"/>
      <color theme="0" tint="-4.9989318521683403E-2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sz val="14"/>
      <color rgb="FF3333FF"/>
      <name val="游ゴシック"/>
      <family val="3"/>
      <charset val="128"/>
      <scheme val="minor"/>
    </font>
    <font>
      <sz val="9"/>
      <color theme="1"/>
      <name val="ＭＳ Ｐゴシック"/>
      <family val="2"/>
      <charset val="128"/>
    </font>
    <font>
      <sz val="22"/>
      <color theme="1"/>
      <name val="游ゴシック"/>
      <family val="2"/>
      <charset val="128"/>
      <scheme val="minor"/>
    </font>
    <font>
      <b/>
      <sz val="14"/>
      <color theme="1"/>
      <name val="ＭＳ ゴシック"/>
      <family val="3"/>
      <charset val="128"/>
    </font>
    <font>
      <b/>
      <sz val="9"/>
      <color rgb="FFFF0000"/>
      <name val="HGPｺﾞｼｯｸM"/>
      <family val="3"/>
      <charset val="128"/>
    </font>
    <font>
      <sz val="18"/>
      <color rgb="FFFF0000"/>
      <name val="HGPｺﾞｼｯｸM"/>
      <family val="3"/>
      <charset val="128"/>
    </font>
    <font>
      <sz val="20"/>
      <color rgb="FFFF0000"/>
      <name val="Meiryo UI"/>
      <family val="3"/>
      <charset val="128"/>
    </font>
    <font>
      <b/>
      <sz val="9"/>
      <color theme="0"/>
      <name val="Meiryo UI"/>
      <family val="3"/>
      <charset val="128"/>
    </font>
    <font>
      <b/>
      <sz val="9"/>
      <color rgb="FFFF0000"/>
      <name val="游ゴシック"/>
      <family val="3"/>
      <charset val="128"/>
      <scheme val="minor"/>
    </font>
    <font>
      <sz val="9"/>
      <color theme="0"/>
      <name val="Meiryo UI"/>
      <family val="3"/>
      <charset val="128"/>
    </font>
    <font>
      <sz val="9"/>
      <color theme="1"/>
      <name val="HGPｺﾞｼｯｸM"/>
      <family val="3"/>
      <charset val="128"/>
    </font>
    <font>
      <sz val="9"/>
      <color rgb="FFFF0000"/>
      <name val="ＭＳ Ｐゴシック"/>
      <family val="2"/>
      <charset val="128"/>
    </font>
    <font>
      <sz val="9"/>
      <color rgb="FFFF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4"/>
      <color rgb="FFFF0000"/>
      <name val="Meiryo UI"/>
      <family val="3"/>
      <charset val="128"/>
    </font>
    <font>
      <sz val="18"/>
      <color theme="3" tint="0.79998168889431442"/>
      <name val="Meiryo UI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b/>
      <u/>
      <sz val="9"/>
      <color theme="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9"/>
      <color theme="0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20"/>
      <color theme="0"/>
      <name val="Meiryo UI"/>
      <family val="3"/>
      <charset val="128"/>
    </font>
    <font>
      <sz val="11"/>
      <color theme="0"/>
      <name val="HGPｺﾞｼｯｸM"/>
      <family val="3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8"/>
      <color theme="1"/>
      <name val="ＭＳ Ｐゴシック"/>
      <family val="2"/>
      <charset val="128"/>
    </font>
    <font>
      <sz val="12"/>
      <color rgb="FFFFFFCC"/>
      <name val="Meiryo UI"/>
      <family val="3"/>
      <charset val="128"/>
    </font>
    <font>
      <sz val="11"/>
      <color rgb="FFFFFFCC"/>
      <name val="ＭＳ Ｐゴシック"/>
      <family val="2"/>
      <charset val="128"/>
    </font>
    <font>
      <sz val="20"/>
      <color rgb="FFFFFFCC"/>
      <name val="游ゴシック"/>
      <family val="2"/>
      <charset val="128"/>
      <scheme val="minor"/>
    </font>
    <font>
      <b/>
      <sz val="12"/>
      <color rgb="FFFFFFCC"/>
      <name val="Meiryo UI"/>
      <family val="3"/>
      <charset val="128"/>
    </font>
    <font>
      <sz val="11"/>
      <color rgb="FFFFFFCC"/>
      <name val="游ゴシック"/>
      <family val="2"/>
      <charset val="128"/>
      <scheme val="minor"/>
    </font>
    <font>
      <sz val="10"/>
      <color rgb="FFFFFFCC"/>
      <name val="ＭＳ ゴシック"/>
      <family val="3"/>
      <charset val="128"/>
    </font>
    <font>
      <sz val="9"/>
      <color rgb="FFFFFFCC"/>
      <name val="ＭＳ ゴシック"/>
      <family val="3"/>
      <charset val="128"/>
    </font>
    <font>
      <sz val="12"/>
      <color rgb="FFFFFFCC"/>
      <name val="ＭＳ ゴシック"/>
      <family val="3"/>
      <charset val="128"/>
    </font>
    <font>
      <b/>
      <sz val="20"/>
      <color rgb="FFFF0000"/>
      <name val="游ゴシック"/>
      <family val="3"/>
      <charset val="128"/>
      <scheme val="minor"/>
    </font>
    <font>
      <b/>
      <sz val="9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0"/>
      <color rgb="FF0070C0"/>
      <name val="Meiryo UI"/>
      <family val="3"/>
      <charset val="128"/>
    </font>
    <font>
      <b/>
      <sz val="8"/>
      <color theme="1"/>
      <name val="Meiryo UI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1"/>
        <bgColor theme="0"/>
      </patternFill>
    </fill>
    <fill>
      <patternFill patternType="solid">
        <fgColor theme="0" tint="-4.9989318521683403E-2"/>
        <bgColor theme="0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theme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theme="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66FFFF"/>
        <bgColor theme="0"/>
      </patternFill>
    </fill>
    <fill>
      <patternFill patternType="solid">
        <fgColor rgb="FFFF66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theme="0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FF99"/>
        <bgColor indexed="64"/>
      </patternFill>
    </fill>
  </fills>
  <borders count="155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/>
      <top/>
      <bottom style="thick">
        <color indexed="64"/>
      </bottom>
      <diagonal/>
    </border>
    <border>
      <left style="thick">
        <color rgb="FFFF0000"/>
      </left>
      <right style="thin">
        <color auto="1"/>
      </right>
      <top style="thick">
        <color rgb="FFFF0000"/>
      </top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rgb="FFFF0000"/>
      </left>
      <right style="thin">
        <color auto="1"/>
      </right>
      <top style="thin">
        <color theme="1"/>
      </top>
      <bottom style="thin">
        <color theme="1"/>
      </bottom>
      <diagonal/>
    </border>
    <border>
      <left/>
      <right style="thick">
        <color rgb="FFFF0000"/>
      </right>
      <top/>
      <bottom/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ck">
        <color rgb="FFFF0000"/>
      </right>
      <top style="thin">
        <color theme="1"/>
      </top>
      <bottom style="thin">
        <color theme="1"/>
      </bottom>
      <diagonal/>
    </border>
    <border>
      <left style="thick">
        <color rgb="FFFF0000"/>
      </left>
      <right style="thin">
        <color auto="1"/>
      </right>
      <top style="thin">
        <color theme="1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theme="1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auto="1"/>
      </left>
      <right/>
      <top style="thick">
        <color rgb="FFFF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rgb="FFFF0000"/>
      </top>
      <bottom style="thin">
        <color auto="1"/>
      </bottom>
      <diagonal/>
    </border>
    <border>
      <left style="thick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rgb="FFFF0000"/>
      </left>
      <right style="thin">
        <color auto="1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3333FF"/>
      </left>
      <right style="medium">
        <color rgb="FF3333FF"/>
      </right>
      <top style="medium">
        <color rgb="FF3333FF"/>
      </top>
      <bottom style="medium">
        <color rgb="FF3333FF"/>
      </bottom>
      <diagonal/>
    </border>
    <border>
      <left/>
      <right style="thick">
        <color rgb="FFFF0000"/>
      </right>
      <top/>
      <bottom style="thin">
        <color theme="1"/>
      </bottom>
      <diagonal/>
    </border>
    <border>
      <left/>
      <right/>
      <top style="thin">
        <color theme="1"/>
      </top>
      <bottom style="thick">
        <color rgb="FFFF0000"/>
      </bottom>
      <diagonal/>
    </border>
    <border>
      <left/>
      <right style="thick">
        <color rgb="FFFF0000"/>
      </right>
      <top style="thin">
        <color theme="1"/>
      </top>
      <bottom style="thick">
        <color rgb="FFFF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ck">
        <color rgb="FFFF0000"/>
      </bottom>
      <diagonal/>
    </border>
    <border>
      <left style="thin">
        <color auto="1"/>
      </left>
      <right/>
      <top/>
      <bottom style="thick">
        <color rgb="FFFF0000"/>
      </bottom>
      <diagonal/>
    </border>
    <border>
      <left/>
      <right/>
      <top style="thick">
        <color rgb="FFFF0000"/>
      </top>
      <bottom style="thin">
        <color auto="1"/>
      </bottom>
      <diagonal/>
    </border>
    <border>
      <left/>
      <right style="thick">
        <color rgb="FFFF0000"/>
      </right>
      <top style="thick">
        <color rgb="FFFF0000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medium">
        <color rgb="FF3333FF"/>
      </left>
      <right style="medium">
        <color rgb="FF3333FF"/>
      </right>
      <top style="medium">
        <color rgb="FF3333FF"/>
      </top>
      <bottom style="thin">
        <color indexed="64"/>
      </bottom>
      <diagonal/>
    </border>
    <border>
      <left style="medium">
        <color rgb="FF3333FF"/>
      </left>
      <right style="medium">
        <color rgb="FF3333FF"/>
      </right>
      <top style="thin">
        <color auto="1"/>
      </top>
      <bottom style="thin">
        <color auto="1"/>
      </bottom>
      <diagonal/>
    </border>
    <border>
      <left style="medium">
        <color rgb="FF3333FF"/>
      </left>
      <right style="thin">
        <color auto="1"/>
      </right>
      <top style="medium">
        <color rgb="FF3333FF"/>
      </top>
      <bottom style="medium">
        <color rgb="FF3333FF"/>
      </bottom>
      <diagonal/>
    </border>
    <border>
      <left style="thin">
        <color auto="1"/>
      </left>
      <right style="medium">
        <color rgb="FF3333FF"/>
      </right>
      <top style="medium">
        <color rgb="FF3333FF"/>
      </top>
      <bottom style="medium">
        <color rgb="FF3333FF"/>
      </bottom>
      <diagonal/>
    </border>
    <border>
      <left/>
      <right/>
      <top/>
      <bottom style="medium">
        <color rgb="FF3333FF"/>
      </bottom>
      <diagonal/>
    </border>
    <border>
      <left style="medium">
        <color rgb="FF3333FF"/>
      </left>
      <right/>
      <top/>
      <bottom/>
      <diagonal/>
    </border>
    <border>
      <left/>
      <right style="medium">
        <color rgb="FF3333FF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thick">
        <color rgb="FFFF0000"/>
      </bottom>
      <diagonal/>
    </border>
    <border>
      <left/>
      <right style="thin">
        <color auto="1"/>
      </right>
      <top style="thick">
        <color rgb="FFFF0000"/>
      </top>
      <bottom style="thin">
        <color auto="1"/>
      </bottom>
      <diagonal/>
    </border>
    <border>
      <left/>
      <right style="medium">
        <color rgb="FF3333FF"/>
      </right>
      <top/>
      <bottom style="thin">
        <color indexed="64"/>
      </bottom>
      <diagonal/>
    </border>
    <border>
      <left style="medium">
        <color rgb="FF3333FF"/>
      </left>
      <right style="thin">
        <color auto="1"/>
      </right>
      <top style="medium">
        <color rgb="FF3333FF"/>
      </top>
      <bottom/>
      <diagonal/>
    </border>
    <border>
      <left style="thin">
        <color auto="1"/>
      </left>
      <right style="medium">
        <color rgb="FF3333FF"/>
      </right>
      <top style="medium">
        <color rgb="FF3333FF"/>
      </top>
      <bottom/>
      <diagonal/>
    </border>
    <border>
      <left/>
      <right/>
      <top style="medium">
        <color rgb="FF3333FF"/>
      </top>
      <bottom/>
      <diagonal/>
    </border>
    <border>
      <left style="thick">
        <color indexed="64"/>
      </left>
      <right style="thin">
        <color theme="1"/>
      </right>
      <top style="thick">
        <color indexed="64"/>
      </top>
      <bottom/>
      <diagonal/>
    </border>
    <border>
      <left style="thick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auto="1"/>
      </right>
      <top style="thick">
        <color indexed="64"/>
      </top>
      <bottom/>
      <diagonal/>
    </border>
    <border>
      <left/>
      <right/>
      <top style="thin">
        <color indexed="64"/>
      </top>
      <bottom style="thick">
        <color rgb="FFFF0000"/>
      </bottom>
      <diagonal/>
    </border>
    <border>
      <left style="thick">
        <color indexed="64"/>
      </left>
      <right style="thin">
        <color theme="1"/>
      </right>
      <top/>
      <bottom/>
      <diagonal/>
    </border>
    <border>
      <left style="thin">
        <color theme="1"/>
      </left>
      <right style="thin">
        <color auto="1"/>
      </right>
      <top/>
      <bottom/>
      <diagonal/>
    </border>
    <border>
      <left/>
      <right/>
      <top style="thick">
        <color auto="1"/>
      </top>
      <bottom style="thick">
        <color rgb="FF0000CC"/>
      </bottom>
      <diagonal/>
    </border>
    <border>
      <left style="hair">
        <color auto="1"/>
      </left>
      <right style="thick">
        <color rgb="FF0000CC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thick">
        <color rgb="FF0000CC"/>
      </right>
      <top style="hair">
        <color auto="1"/>
      </top>
      <bottom style="hair">
        <color auto="1"/>
      </bottom>
      <diagonal/>
    </border>
    <border>
      <left style="thick">
        <color rgb="FF0000CC"/>
      </left>
      <right style="thick">
        <color rgb="FF0000CC"/>
      </right>
      <top style="thick">
        <color rgb="FF0000CC"/>
      </top>
      <bottom style="hair">
        <color indexed="64"/>
      </bottom>
      <diagonal/>
    </border>
    <border>
      <left style="thick">
        <color rgb="FF0000CC"/>
      </left>
      <right style="thick">
        <color rgb="FF0000CC"/>
      </right>
      <top style="hair">
        <color indexed="64"/>
      </top>
      <bottom style="hair">
        <color indexed="64"/>
      </bottom>
      <diagonal/>
    </border>
    <border>
      <left style="thick">
        <color rgb="FF0000CC"/>
      </left>
      <right style="thick">
        <color rgb="FF0000CC"/>
      </right>
      <top style="hair">
        <color indexed="64"/>
      </top>
      <bottom style="thick">
        <color rgb="FF0000CC"/>
      </bottom>
      <diagonal/>
    </border>
    <border>
      <left style="thick">
        <color rgb="FF0000CC"/>
      </left>
      <right/>
      <top style="thick">
        <color rgb="FF0000CC"/>
      </top>
      <bottom style="thick">
        <color rgb="FF0000CC"/>
      </bottom>
      <diagonal/>
    </border>
    <border>
      <left/>
      <right/>
      <top style="thick">
        <color rgb="FF0000CC"/>
      </top>
      <bottom style="thick">
        <color rgb="FF0000CC"/>
      </bottom>
      <diagonal/>
    </border>
    <border>
      <left/>
      <right style="thick">
        <color rgb="FF0000CC"/>
      </right>
      <top style="thick">
        <color rgb="FF0000CC"/>
      </top>
      <bottom style="thick">
        <color rgb="FF0000CC"/>
      </bottom>
      <diagonal/>
    </border>
    <border>
      <left/>
      <right style="thick">
        <color rgb="FF0000CC"/>
      </right>
      <top/>
      <bottom/>
      <diagonal/>
    </border>
    <border>
      <left style="thin">
        <color indexed="64"/>
      </left>
      <right/>
      <top style="thick">
        <color rgb="FF0000CC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rgb="FF0000CC"/>
      </bottom>
      <diagonal/>
    </border>
    <border>
      <left style="thin">
        <color indexed="64"/>
      </left>
      <right style="medium">
        <color rgb="FF3333FF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/>
      <diagonal/>
    </border>
    <border>
      <left style="thin">
        <color auto="1"/>
      </left>
      <right style="thin">
        <color auto="1"/>
      </right>
      <top style="thick">
        <color rgb="FFFF0000"/>
      </top>
      <bottom/>
      <diagonal/>
    </border>
    <border>
      <left style="thin">
        <color auto="1"/>
      </left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auto="1"/>
      </top>
      <bottom style="thick">
        <color rgb="FFFF0000"/>
      </bottom>
      <diagonal/>
    </border>
    <border>
      <left/>
      <right/>
      <top style="thin">
        <color auto="1"/>
      </top>
      <bottom style="thin">
        <color theme="1"/>
      </bottom>
      <diagonal/>
    </border>
    <border>
      <left style="thick">
        <color auto="1"/>
      </left>
      <right/>
      <top style="thick">
        <color auto="1"/>
      </top>
      <bottom style="thick">
        <color rgb="FF0000CC"/>
      </bottom>
      <diagonal/>
    </border>
    <border>
      <left/>
      <right style="thick">
        <color auto="1"/>
      </right>
      <top style="thick">
        <color auto="1"/>
      </top>
      <bottom style="thick">
        <color rgb="FF0000CC"/>
      </bottom>
      <diagonal/>
    </border>
    <border>
      <left style="thin">
        <color indexed="64"/>
      </left>
      <right style="thick">
        <color rgb="FF0000CC"/>
      </right>
      <top style="thin">
        <color indexed="64"/>
      </top>
      <bottom style="thick">
        <color rgb="FF0000CC"/>
      </bottom>
      <diagonal/>
    </border>
    <border>
      <left style="thin">
        <color indexed="64"/>
      </left>
      <right style="thin">
        <color indexed="64"/>
      </right>
      <top/>
      <bottom style="thick">
        <color rgb="FFFF0000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 style="thin">
        <color theme="1"/>
      </top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 style="thin">
        <color theme="1"/>
      </left>
      <right style="thick">
        <color rgb="FFFF0000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ck">
        <color auto="1"/>
      </top>
      <bottom/>
      <diagonal/>
    </border>
    <border>
      <left/>
      <right/>
      <top style="thick">
        <color rgb="FF0000CC"/>
      </top>
      <bottom/>
      <diagonal/>
    </border>
    <border>
      <left/>
      <right/>
      <top style="thin">
        <color indexed="64"/>
      </top>
      <bottom style="thick">
        <color rgb="FF0000CC"/>
      </bottom>
      <diagonal/>
    </border>
    <border>
      <left/>
      <right style="thin">
        <color indexed="64"/>
      </right>
      <top style="thick">
        <color rgb="FF0000CC"/>
      </top>
      <bottom style="thin">
        <color indexed="64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ck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 style="mediumDashed">
        <color rgb="FFFF0000"/>
      </bottom>
      <diagonal/>
    </border>
    <border>
      <left/>
      <right/>
      <top style="thick">
        <color rgb="FFFF0000"/>
      </top>
      <bottom style="mediumDashed">
        <color rgb="FFFF0000"/>
      </bottom>
      <diagonal/>
    </border>
    <border>
      <left/>
      <right style="thick">
        <color rgb="FFFF0000"/>
      </right>
      <top style="thick">
        <color rgb="FFFF0000"/>
      </top>
      <bottom style="mediumDashed">
        <color rgb="FFFF0000"/>
      </bottom>
      <diagonal/>
    </border>
    <border>
      <left style="thin">
        <color auto="1"/>
      </left>
      <right style="thin">
        <color indexed="64"/>
      </right>
      <top style="thin">
        <color theme="1"/>
      </top>
      <bottom style="thick">
        <color rgb="FFFF0000"/>
      </bottom>
      <diagonal/>
    </border>
    <border>
      <left style="thick">
        <color rgb="FF0000CC"/>
      </left>
      <right/>
      <top/>
      <bottom/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 style="thin">
        <color auto="1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ck">
        <color indexed="64"/>
      </right>
      <top style="thick">
        <color rgb="FF0000CC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/>
    <xf numFmtId="0" fontId="25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60" fillId="0" borderId="0">
      <alignment vertical="center"/>
    </xf>
    <xf numFmtId="0" fontId="1" fillId="0" borderId="0">
      <alignment vertical="center"/>
    </xf>
  </cellStyleXfs>
  <cellXfs count="611">
    <xf numFmtId="0" fontId="0" fillId="0" borderId="0" xfId="0">
      <alignment vertical="center"/>
    </xf>
    <xf numFmtId="0" fontId="5" fillId="2" borderId="0" xfId="2" applyFont="1" applyFill="1" applyAlignment="1" applyProtection="1">
      <alignment horizontal="left" vertical="top" wrapText="1"/>
      <protection hidden="1"/>
    </xf>
    <xf numFmtId="0" fontId="7" fillId="2" borderId="0" xfId="2" applyFont="1" applyFill="1" applyAlignment="1" applyProtection="1">
      <alignment vertical="top" wrapText="1"/>
      <protection hidden="1"/>
    </xf>
    <xf numFmtId="0" fontId="8" fillId="2" borderId="0" xfId="2" applyFont="1" applyFill="1" applyAlignment="1" applyProtection="1">
      <alignment horizontal="right" vertical="center"/>
      <protection hidden="1"/>
    </xf>
    <xf numFmtId="0" fontId="7" fillId="2" borderId="0" xfId="2" applyFont="1" applyFill="1" applyProtection="1">
      <protection hidden="1"/>
    </xf>
    <xf numFmtId="0" fontId="12" fillId="2" borderId="0" xfId="2" applyFont="1" applyFill="1" applyProtection="1">
      <protection hidden="1"/>
    </xf>
    <xf numFmtId="0" fontId="13" fillId="0" borderId="0" xfId="2" applyFont="1" applyProtection="1">
      <protection hidden="1"/>
    </xf>
    <xf numFmtId="0" fontId="13" fillId="0" borderId="0" xfId="2" applyFont="1" applyAlignment="1" applyProtection="1">
      <alignment horizontal="center" vertical="center"/>
      <protection hidden="1"/>
    </xf>
    <xf numFmtId="0" fontId="14" fillId="0" borderId="0" xfId="2" applyFont="1" applyAlignment="1" applyProtection="1">
      <alignment horizontal="center" vertical="center"/>
      <protection hidden="1"/>
    </xf>
    <xf numFmtId="0" fontId="14" fillId="0" borderId="0" xfId="2" applyFont="1" applyAlignment="1" applyProtection="1">
      <alignment vertical="center"/>
      <protection hidden="1"/>
    </xf>
    <xf numFmtId="0" fontId="15" fillId="0" borderId="0" xfId="2" applyFont="1" applyProtection="1">
      <protection hidden="1"/>
    </xf>
    <xf numFmtId="0" fontId="16" fillId="0" borderId="0" xfId="2" applyFont="1" applyProtection="1">
      <protection hidden="1"/>
    </xf>
    <xf numFmtId="0" fontId="12" fillId="2" borderId="0" xfId="2" applyFont="1" applyFill="1" applyAlignment="1" applyProtection="1">
      <alignment vertical="center"/>
      <protection hidden="1"/>
    </xf>
    <xf numFmtId="0" fontId="15" fillId="0" borderId="0" xfId="2" applyFont="1" applyAlignment="1" applyProtection="1">
      <alignment vertical="center"/>
      <protection hidden="1"/>
    </xf>
    <xf numFmtId="0" fontId="21" fillId="2" borderId="0" xfId="2" applyFont="1" applyFill="1" applyAlignment="1" applyProtection="1">
      <alignment horizontal="left" vertical="center"/>
      <protection hidden="1"/>
    </xf>
    <xf numFmtId="0" fontId="15" fillId="4" borderId="8" xfId="2" applyFont="1" applyFill="1" applyBorder="1" applyAlignment="1" applyProtection="1">
      <alignment horizontal="center" vertical="center" wrapText="1"/>
      <protection hidden="1"/>
    </xf>
    <xf numFmtId="0" fontId="15" fillId="7" borderId="18" xfId="2" applyFont="1" applyFill="1" applyBorder="1" applyAlignment="1" applyProtection="1">
      <alignment horizontal="center" vertical="center" wrapText="1"/>
      <protection hidden="1"/>
    </xf>
    <xf numFmtId="0" fontId="26" fillId="2" borderId="0" xfId="2" applyFont="1" applyFill="1" applyAlignment="1" applyProtection="1">
      <alignment horizontal="left" vertical="center"/>
      <protection hidden="1"/>
    </xf>
    <xf numFmtId="0" fontId="27" fillId="2" borderId="0" xfId="2" applyFont="1" applyFill="1" applyAlignment="1" applyProtection="1">
      <alignment horizontal="left" vertical="center" indent="1"/>
      <protection hidden="1"/>
    </xf>
    <xf numFmtId="0" fontId="5" fillId="2" borderId="0" xfId="2" applyFont="1" applyFill="1" applyProtection="1">
      <protection hidden="1"/>
    </xf>
    <xf numFmtId="178" fontId="24" fillId="0" borderId="22" xfId="2" applyNumberFormat="1" applyFont="1" applyBorder="1" applyAlignment="1" applyProtection="1">
      <alignment horizontal="center" vertical="center" wrapText="1"/>
      <protection hidden="1"/>
    </xf>
    <xf numFmtId="0" fontId="28" fillId="2" borderId="0" xfId="2" applyFont="1" applyFill="1" applyAlignment="1" applyProtection="1">
      <alignment horizontal="center" vertical="center"/>
      <protection hidden="1"/>
    </xf>
    <xf numFmtId="0" fontId="24" fillId="2" borderId="0" xfId="2" applyFont="1" applyFill="1" applyProtection="1">
      <protection hidden="1"/>
    </xf>
    <xf numFmtId="0" fontId="24" fillId="2" borderId="0" xfId="2" applyFont="1" applyFill="1" applyAlignment="1" applyProtection="1">
      <alignment horizontal="left" vertical="center"/>
      <protection hidden="1"/>
    </xf>
    <xf numFmtId="0" fontId="29" fillId="0" borderId="0" xfId="2" applyFont="1" applyProtection="1">
      <protection hidden="1"/>
    </xf>
    <xf numFmtId="0" fontId="33" fillId="0" borderId="0" xfId="4" applyFont="1" applyAlignment="1" applyProtection="1">
      <alignment horizontal="center" vertical="center"/>
      <protection hidden="1"/>
    </xf>
    <xf numFmtId="0" fontId="33" fillId="0" borderId="0" xfId="4" applyFont="1">
      <alignment vertical="center"/>
    </xf>
    <xf numFmtId="0" fontId="35" fillId="0" borderId="0" xfId="4" applyFont="1">
      <alignment vertical="center"/>
    </xf>
    <xf numFmtId="0" fontId="17" fillId="0" borderId="0" xfId="4" applyFont="1" applyProtection="1">
      <alignment vertical="center"/>
      <protection hidden="1"/>
    </xf>
    <xf numFmtId="0" fontId="30" fillId="0" borderId="0" xfId="4" applyProtection="1">
      <alignment vertical="center"/>
      <protection hidden="1"/>
    </xf>
    <xf numFmtId="0" fontId="30" fillId="0" borderId="0" xfId="4" applyAlignment="1" applyProtection="1">
      <alignment horizontal="center" vertical="center"/>
      <protection hidden="1"/>
    </xf>
    <xf numFmtId="0" fontId="30" fillId="0" borderId="0" xfId="4">
      <alignment vertical="center"/>
    </xf>
    <xf numFmtId="0" fontId="24" fillId="7" borderId="32" xfId="4" applyFont="1" applyFill="1" applyBorder="1" applyAlignment="1" applyProtection="1">
      <alignment horizontal="center" vertical="center"/>
      <protection hidden="1"/>
    </xf>
    <xf numFmtId="0" fontId="21" fillId="0" borderId="7" xfId="4" applyFont="1" applyBorder="1" applyAlignment="1" applyProtection="1">
      <alignment horizontal="left" vertical="center"/>
      <protection hidden="1"/>
    </xf>
    <xf numFmtId="0" fontId="24" fillId="0" borderId="7" xfId="4" applyFont="1" applyBorder="1" applyProtection="1">
      <alignment vertical="center"/>
      <protection hidden="1"/>
    </xf>
    <xf numFmtId="0" fontId="36" fillId="0" borderId="0" xfId="4" applyFont="1">
      <alignment vertical="center"/>
    </xf>
    <xf numFmtId="0" fontId="14" fillId="2" borderId="0" xfId="2" applyFont="1" applyFill="1" applyAlignment="1" applyProtection="1">
      <alignment horizontal="center" vertical="center"/>
      <protection hidden="1"/>
    </xf>
    <xf numFmtId="0" fontId="15" fillId="4" borderId="21" xfId="2" applyFont="1" applyFill="1" applyBorder="1" applyAlignment="1" applyProtection="1">
      <alignment horizontal="center" vertical="center" shrinkToFit="1"/>
      <protection hidden="1"/>
    </xf>
    <xf numFmtId="0" fontId="24" fillId="0" borderId="0" xfId="4" applyFont="1" applyAlignment="1" applyProtection="1">
      <alignment horizontal="left" vertical="top" wrapText="1"/>
      <protection hidden="1"/>
    </xf>
    <xf numFmtId="0" fontId="15" fillId="0" borderId="0" xfId="2" applyFont="1" applyAlignment="1" applyProtection="1">
      <alignment vertical="center" shrinkToFit="1"/>
      <protection hidden="1"/>
    </xf>
    <xf numFmtId="14" fontId="15" fillId="0" borderId="0" xfId="2" applyNumberFormat="1" applyFont="1" applyAlignment="1" applyProtection="1">
      <alignment horizontal="center" vertical="center" wrapText="1"/>
      <protection hidden="1"/>
    </xf>
    <xf numFmtId="178" fontId="15" fillId="9" borderId="55" xfId="2" applyNumberFormat="1" applyFont="1" applyFill="1" applyBorder="1" applyAlignment="1" applyProtection="1">
      <alignment horizontal="right" vertical="center" wrapText="1"/>
      <protection hidden="1"/>
    </xf>
    <xf numFmtId="178" fontId="24" fillId="0" borderId="27" xfId="2" applyNumberFormat="1" applyFont="1" applyBorder="1" applyAlignment="1" applyProtection="1">
      <alignment horizontal="center" vertical="center" wrapText="1"/>
      <protection hidden="1"/>
    </xf>
    <xf numFmtId="0" fontId="15" fillId="0" borderId="70" xfId="2" applyFont="1" applyBorder="1" applyAlignment="1" applyProtection="1">
      <alignment vertical="center" shrinkToFit="1"/>
      <protection hidden="1"/>
    </xf>
    <xf numFmtId="0" fontId="15" fillId="0" borderId="71" xfId="2" applyFont="1" applyBorder="1" applyAlignment="1" applyProtection="1">
      <alignment vertical="center" shrinkToFit="1"/>
      <protection hidden="1"/>
    </xf>
    <xf numFmtId="0" fontId="15" fillId="9" borderId="55" xfId="2" applyFont="1" applyFill="1" applyBorder="1" applyAlignment="1" applyProtection="1">
      <alignment vertical="center" shrinkToFit="1"/>
      <protection hidden="1"/>
    </xf>
    <xf numFmtId="0" fontId="39" fillId="0" borderId="0" xfId="4" applyFont="1">
      <alignment vertical="center"/>
    </xf>
    <xf numFmtId="0" fontId="30" fillId="0" borderId="34" xfId="4" applyBorder="1">
      <alignment vertical="center"/>
    </xf>
    <xf numFmtId="41" fontId="40" fillId="0" borderId="34" xfId="4" applyNumberFormat="1" applyFont="1" applyBorder="1" applyAlignment="1">
      <alignment vertical="center" shrinkToFit="1"/>
    </xf>
    <xf numFmtId="0" fontId="40" fillId="0" borderId="34" xfId="4" applyFont="1" applyBorder="1" applyAlignment="1">
      <alignment vertical="center" shrinkToFit="1"/>
    </xf>
    <xf numFmtId="0" fontId="41" fillId="0" borderId="34" xfId="4" applyFont="1" applyBorder="1" applyAlignment="1">
      <alignment vertical="center" shrinkToFit="1"/>
    </xf>
    <xf numFmtId="0" fontId="41" fillId="11" borderId="34" xfId="4" applyFont="1" applyFill="1" applyBorder="1" applyAlignment="1">
      <alignment vertical="center" shrinkToFit="1"/>
    </xf>
    <xf numFmtId="41" fontId="40" fillId="15" borderId="34" xfId="4" applyNumberFormat="1" applyFont="1" applyFill="1" applyBorder="1" applyAlignment="1">
      <alignment vertical="center" shrinkToFit="1"/>
    </xf>
    <xf numFmtId="0" fontId="40" fillId="15" borderId="34" xfId="4" applyFont="1" applyFill="1" applyBorder="1" applyAlignment="1">
      <alignment vertical="center" shrinkToFit="1"/>
    </xf>
    <xf numFmtId="41" fontId="40" fillId="15" borderId="34" xfId="4" applyNumberFormat="1" applyFont="1" applyFill="1" applyBorder="1" applyAlignment="1">
      <alignment horizontal="right" vertical="center" shrinkToFit="1"/>
    </xf>
    <xf numFmtId="0" fontId="41" fillId="12" borderId="34" xfId="4" applyFont="1" applyFill="1" applyBorder="1" applyAlignment="1">
      <alignment vertical="center" shrinkToFit="1"/>
    </xf>
    <xf numFmtId="0" fontId="30" fillId="0" borderId="63" xfId="4" applyBorder="1">
      <alignment vertical="center"/>
    </xf>
    <xf numFmtId="41" fontId="40" fillId="15" borderId="63" xfId="4" applyNumberFormat="1" applyFont="1" applyFill="1" applyBorder="1" applyAlignment="1">
      <alignment vertical="center" shrinkToFit="1"/>
    </xf>
    <xf numFmtId="0" fontId="40" fillId="15" borderId="63" xfId="4" applyFont="1" applyFill="1" applyBorder="1" applyAlignment="1">
      <alignment vertical="center" shrinkToFit="1"/>
    </xf>
    <xf numFmtId="0" fontId="41" fillId="12" borderId="63" xfId="4" applyFont="1" applyFill="1" applyBorder="1" applyAlignment="1">
      <alignment vertical="center" shrinkToFit="1"/>
    </xf>
    <xf numFmtId="0" fontId="30" fillId="16" borderId="34" xfId="4" applyFill="1" applyBorder="1">
      <alignment vertical="center"/>
    </xf>
    <xf numFmtId="0" fontId="40" fillId="16" borderId="34" xfId="4" applyFont="1" applyFill="1" applyBorder="1" applyAlignment="1">
      <alignment horizontal="right" vertical="center" shrinkToFit="1"/>
    </xf>
    <xf numFmtId="0" fontId="41" fillId="16" borderId="34" xfId="4" applyFont="1" applyFill="1" applyBorder="1" applyAlignment="1">
      <alignment vertical="center" shrinkToFit="1"/>
    </xf>
    <xf numFmtId="0" fontId="40" fillId="16" borderId="34" xfId="4" applyFont="1" applyFill="1" applyBorder="1" applyAlignment="1">
      <alignment vertical="center" shrinkToFit="1"/>
    </xf>
    <xf numFmtId="0" fontId="30" fillId="17" borderId="34" xfId="4" applyFill="1" applyBorder="1">
      <alignment vertical="center"/>
    </xf>
    <xf numFmtId="0" fontId="41" fillId="17" borderId="34" xfId="4" applyFont="1" applyFill="1" applyBorder="1" applyAlignment="1">
      <alignment vertical="center" shrinkToFit="1"/>
    </xf>
    <xf numFmtId="0" fontId="30" fillId="18" borderId="34" xfId="4" applyFill="1" applyBorder="1">
      <alignment vertical="center"/>
    </xf>
    <xf numFmtId="0" fontId="39" fillId="18" borderId="34" xfId="4" applyFont="1" applyFill="1" applyBorder="1">
      <alignment vertical="center"/>
    </xf>
    <xf numFmtId="0" fontId="42" fillId="19" borderId="0" xfId="4" applyFont="1" applyFill="1" applyAlignment="1">
      <alignment horizontal="left" vertical="center"/>
    </xf>
    <xf numFmtId="0" fontId="30" fillId="0" borderId="34" xfId="4" applyBorder="1" applyAlignment="1">
      <alignment vertical="center" wrapText="1"/>
    </xf>
    <xf numFmtId="0" fontId="15" fillId="4" borderId="26" xfId="2" applyFont="1" applyFill="1" applyBorder="1" applyAlignment="1" applyProtection="1">
      <alignment horizontal="center" vertical="center" wrapText="1" shrinkToFit="1"/>
      <protection hidden="1"/>
    </xf>
    <xf numFmtId="177" fontId="15" fillId="0" borderId="0" xfId="2" applyNumberFormat="1" applyFont="1" applyAlignment="1" applyProtection="1">
      <alignment horizontal="center" vertical="center" wrapText="1"/>
      <protection hidden="1"/>
    </xf>
    <xf numFmtId="0" fontId="15" fillId="0" borderId="22" xfId="2" applyFont="1" applyBorder="1" applyAlignment="1" applyProtection="1">
      <alignment horizontal="center" vertical="center" wrapText="1"/>
      <protection hidden="1"/>
    </xf>
    <xf numFmtId="0" fontId="15" fillId="0" borderId="0" xfId="2" applyFont="1" applyAlignment="1" applyProtection="1">
      <alignment horizontal="center" vertical="center" wrapText="1"/>
      <protection hidden="1"/>
    </xf>
    <xf numFmtId="179" fontId="15" fillId="0" borderId="78" xfId="1" applyNumberFormat="1" applyFont="1" applyFill="1" applyBorder="1" applyAlignment="1" applyProtection="1">
      <alignment horizontal="right" vertical="center" wrapText="1"/>
      <protection hidden="1"/>
    </xf>
    <xf numFmtId="0" fontId="15" fillId="0" borderId="27" xfId="2" applyFont="1" applyBorder="1" applyAlignment="1" applyProtection="1">
      <alignment horizontal="center" vertical="center" wrapText="1"/>
      <protection hidden="1"/>
    </xf>
    <xf numFmtId="0" fontId="39" fillId="11" borderId="34" xfId="4" applyFont="1" applyFill="1" applyBorder="1">
      <alignment vertical="center"/>
    </xf>
    <xf numFmtId="0" fontId="18" fillId="18" borderId="35" xfId="4" applyFont="1" applyFill="1" applyBorder="1" applyAlignment="1" applyProtection="1">
      <alignment horizontal="center" vertical="center"/>
      <protection hidden="1"/>
    </xf>
    <xf numFmtId="0" fontId="43" fillId="0" borderId="0" xfId="2" applyFont="1" applyAlignment="1" applyProtection="1">
      <alignment horizontal="center" vertical="center"/>
      <protection hidden="1"/>
    </xf>
    <xf numFmtId="0" fontId="43" fillId="2" borderId="0" xfId="2" applyFont="1" applyFill="1" applyAlignment="1" applyProtection="1">
      <alignment horizontal="center" vertical="center"/>
      <protection hidden="1"/>
    </xf>
    <xf numFmtId="0" fontId="12" fillId="0" borderId="0" xfId="4" applyFont="1" applyAlignment="1">
      <alignment vertical="top"/>
    </xf>
    <xf numFmtId="0" fontId="19" fillId="0" borderId="85" xfId="4" applyFont="1" applyBorder="1" applyAlignment="1" applyProtection="1">
      <alignment horizontal="right" vertical="center"/>
      <protection hidden="1"/>
    </xf>
    <xf numFmtId="0" fontId="24" fillId="7" borderId="86" xfId="4" applyFont="1" applyFill="1" applyBorder="1" applyAlignment="1" applyProtection="1">
      <alignment horizontal="center" vertical="center" wrapText="1"/>
      <protection hidden="1"/>
    </xf>
    <xf numFmtId="0" fontId="24" fillId="7" borderId="87" xfId="4" applyFont="1" applyFill="1" applyBorder="1" applyAlignment="1" applyProtection="1">
      <alignment horizontal="center" vertical="center" wrapText="1"/>
      <protection hidden="1"/>
    </xf>
    <xf numFmtId="178" fontId="24" fillId="0" borderId="0" xfId="2" applyNumberFormat="1" applyFont="1" applyAlignment="1" applyProtection="1">
      <alignment horizontal="center" vertical="center" wrapText="1"/>
      <protection hidden="1"/>
    </xf>
    <xf numFmtId="178" fontId="15" fillId="0" borderId="10" xfId="2" applyNumberFormat="1" applyFont="1" applyBorder="1" applyAlignment="1" applyProtection="1">
      <alignment horizontal="right" vertical="center" wrapText="1"/>
      <protection hidden="1"/>
    </xf>
    <xf numFmtId="178" fontId="24" fillId="0" borderId="97" xfId="2" applyNumberFormat="1" applyFont="1" applyBorder="1" applyAlignment="1" applyProtection="1">
      <alignment horizontal="center" vertical="center" wrapText="1"/>
      <protection hidden="1"/>
    </xf>
    <xf numFmtId="14" fontId="44" fillId="20" borderId="34" xfId="0" applyNumberFormat="1" applyFont="1" applyFill="1" applyBorder="1" applyAlignment="1">
      <alignment horizontal="center" vertical="center"/>
    </xf>
    <xf numFmtId="0" fontId="44" fillId="18" borderId="34" xfId="0" applyFont="1" applyFill="1" applyBorder="1" applyAlignment="1">
      <alignment horizontal="center" vertical="center"/>
    </xf>
    <xf numFmtId="14" fontId="44" fillId="18" borderId="34" xfId="0" applyNumberFormat="1" applyFont="1" applyFill="1" applyBorder="1" applyAlignment="1">
      <alignment horizontal="center" vertical="center"/>
    </xf>
    <xf numFmtId="14" fontId="0" fillId="0" borderId="0" xfId="0" applyNumberFormat="1">
      <alignment vertical="center"/>
    </xf>
    <xf numFmtId="0" fontId="0" fillId="8" borderId="34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8" borderId="34" xfId="0" applyFill="1" applyBorder="1" applyAlignment="1">
      <alignment horizontal="center" vertical="center" wrapText="1"/>
    </xf>
    <xf numFmtId="0" fontId="15" fillId="4" borderId="11" xfId="2" applyFont="1" applyFill="1" applyBorder="1" applyAlignment="1" applyProtection="1">
      <alignment horizontal="center" vertical="center" wrapText="1"/>
      <protection hidden="1"/>
    </xf>
    <xf numFmtId="0" fontId="24" fillId="2" borderId="0" xfId="2" applyFont="1" applyFill="1" applyAlignment="1" applyProtection="1">
      <alignment horizontal="center"/>
      <protection hidden="1"/>
    </xf>
    <xf numFmtId="181" fontId="44" fillId="18" borderId="34" xfId="0" applyNumberFormat="1" applyFont="1" applyFill="1" applyBorder="1" applyAlignment="1">
      <alignment horizontal="center" vertical="center"/>
    </xf>
    <xf numFmtId="0" fontId="0" fillId="0" borderId="0" xfId="0" quotePrefix="1">
      <alignment vertical="center"/>
    </xf>
    <xf numFmtId="181" fontId="0" fillId="0" borderId="0" xfId="0" applyNumberFormat="1">
      <alignment vertical="center"/>
    </xf>
    <xf numFmtId="181" fontId="0" fillId="0" borderId="100" xfId="0" applyNumberFormat="1" applyBorder="1">
      <alignment vertical="center"/>
    </xf>
    <xf numFmtId="181" fontId="0" fillId="0" borderId="101" xfId="0" applyNumberFormat="1" applyBorder="1">
      <alignment vertical="center"/>
    </xf>
    <xf numFmtId="181" fontId="44" fillId="21" borderId="34" xfId="0" applyNumberFormat="1" applyFont="1" applyFill="1" applyBorder="1" applyAlignment="1">
      <alignment horizontal="center" vertical="center"/>
    </xf>
    <xf numFmtId="14" fontId="44" fillId="21" borderId="34" xfId="0" applyNumberFormat="1" applyFont="1" applyFill="1" applyBorder="1" applyAlignment="1">
      <alignment horizontal="center" vertical="center"/>
    </xf>
    <xf numFmtId="0" fontId="0" fillId="0" borderId="98" xfId="0" applyBorder="1">
      <alignment vertical="center"/>
    </xf>
    <xf numFmtId="181" fontId="0" fillId="0" borderId="99" xfId="0" applyNumberFormat="1" applyBorder="1">
      <alignment vertical="center"/>
    </xf>
    <xf numFmtId="0" fontId="2" fillId="0" borderId="0" xfId="5">
      <alignment vertical="center"/>
    </xf>
    <xf numFmtId="0" fontId="11" fillId="0" borderId="0" xfId="2" applyFont="1" applyAlignment="1" applyProtection="1">
      <alignment horizontal="center" vertical="center" wrapText="1"/>
      <protection hidden="1"/>
    </xf>
    <xf numFmtId="178" fontId="16" fillId="0" borderId="24" xfId="2" applyNumberFormat="1" applyFont="1" applyBorder="1" applyAlignment="1" applyProtection="1">
      <alignment horizontal="right" vertical="center" wrapText="1"/>
      <protection hidden="1"/>
    </xf>
    <xf numFmtId="0" fontId="49" fillId="2" borderId="0" xfId="2" applyFont="1" applyFill="1" applyAlignment="1" applyProtection="1">
      <alignment horizontal="center" vertical="center" shrinkToFit="1"/>
      <protection hidden="1"/>
    </xf>
    <xf numFmtId="0" fontId="16" fillId="6" borderId="0" xfId="2" applyFont="1" applyFill="1" applyAlignment="1" applyProtection="1">
      <alignment horizontal="left" vertical="center" wrapText="1"/>
      <protection locked="0" hidden="1"/>
    </xf>
    <xf numFmtId="0" fontId="45" fillId="0" borderId="0" xfId="2" applyFont="1" applyAlignment="1" applyProtection="1">
      <alignment horizontal="center" vertical="center" wrapText="1"/>
      <protection hidden="1"/>
    </xf>
    <xf numFmtId="177" fontId="15" fillId="0" borderId="10" xfId="2" applyNumberFormat="1" applyFont="1" applyBorder="1" applyAlignment="1" applyProtection="1">
      <alignment horizontal="center" vertical="center" wrapText="1"/>
      <protection hidden="1"/>
    </xf>
    <xf numFmtId="177" fontId="15" fillId="9" borderId="66" xfId="2" applyNumberFormat="1" applyFont="1" applyFill="1" applyBorder="1" applyAlignment="1" applyProtection="1">
      <alignment horizontal="center" vertical="center" wrapText="1"/>
      <protection hidden="1"/>
    </xf>
    <xf numFmtId="177" fontId="15" fillId="9" borderId="67" xfId="2" applyNumberFormat="1" applyFont="1" applyFill="1" applyBorder="1" applyAlignment="1" applyProtection="1">
      <alignment horizontal="center" vertical="center" wrapText="1"/>
      <protection hidden="1"/>
    </xf>
    <xf numFmtId="0" fontId="7" fillId="2" borderId="0" xfId="2" applyFont="1" applyFill="1"/>
    <xf numFmtId="0" fontId="24" fillId="2" borderId="102" xfId="2" applyFont="1" applyFill="1" applyBorder="1" applyAlignment="1" applyProtection="1">
      <alignment horizontal="center"/>
      <protection locked="0" hidden="1"/>
    </xf>
    <xf numFmtId="0" fontId="24" fillId="4" borderId="39" xfId="2" applyFont="1" applyFill="1" applyBorder="1" applyAlignment="1" applyProtection="1">
      <alignment horizontal="center" vertical="center" wrapText="1"/>
      <protection locked="0" hidden="1"/>
    </xf>
    <xf numFmtId="0" fontId="15" fillId="4" borderId="16" xfId="2" applyFont="1" applyFill="1" applyBorder="1" applyAlignment="1" applyProtection="1">
      <alignment horizontal="center" vertical="center" wrapText="1"/>
      <protection locked="0" hidden="1"/>
    </xf>
    <xf numFmtId="0" fontId="15" fillId="7" borderId="43" xfId="2" applyFont="1" applyFill="1" applyBorder="1" applyAlignment="1" applyProtection="1">
      <alignment horizontal="center" vertical="center" wrapText="1"/>
      <protection locked="0" hidden="1"/>
    </xf>
    <xf numFmtId="0" fontId="15" fillId="7" borderId="59" xfId="2" applyFont="1" applyFill="1" applyBorder="1" applyAlignment="1" applyProtection="1">
      <alignment horizontal="center" vertical="center" wrapText="1"/>
      <protection locked="0" hidden="1"/>
    </xf>
    <xf numFmtId="0" fontId="16" fillId="6" borderId="49" xfId="2" applyFont="1" applyFill="1" applyBorder="1" applyAlignment="1" applyProtection="1">
      <alignment horizontal="left" vertical="center" wrapText="1"/>
      <protection locked="0" hidden="1"/>
    </xf>
    <xf numFmtId="0" fontId="30" fillId="0" borderId="0" xfId="4" applyAlignment="1">
      <alignment horizontal="center" vertical="center"/>
    </xf>
    <xf numFmtId="0" fontId="30" fillId="16" borderId="63" xfId="4" applyFill="1" applyBorder="1">
      <alignment vertical="center"/>
    </xf>
    <xf numFmtId="0" fontId="41" fillId="16" borderId="63" xfId="4" applyFont="1" applyFill="1" applyBorder="1" applyAlignment="1">
      <alignment vertical="center" shrinkToFit="1"/>
    </xf>
    <xf numFmtId="0" fontId="40" fillId="16" borderId="63" xfId="4" applyFont="1" applyFill="1" applyBorder="1" applyAlignment="1">
      <alignment horizontal="right" vertical="center" shrinkToFit="1"/>
    </xf>
    <xf numFmtId="0" fontId="0" fillId="0" borderId="0" xfId="0" applyAlignment="1">
      <alignment horizontal="right" vertical="center" wrapText="1"/>
    </xf>
    <xf numFmtId="177" fontId="15" fillId="8" borderId="107" xfId="2" applyNumberFormat="1" applyFont="1" applyFill="1" applyBorder="1" applyAlignment="1" applyProtection="1">
      <alignment horizontal="center" vertical="center" wrapText="1"/>
      <protection locked="0" hidden="1"/>
    </xf>
    <xf numFmtId="177" fontId="15" fillId="8" borderId="40" xfId="2" applyNumberFormat="1" applyFont="1" applyFill="1" applyBorder="1" applyAlignment="1" applyProtection="1">
      <alignment horizontal="center" vertical="center" wrapText="1"/>
      <protection locked="0" hidden="1"/>
    </xf>
    <xf numFmtId="177" fontId="15" fillId="8" borderId="42" xfId="2" applyNumberFormat="1" applyFont="1" applyFill="1" applyBorder="1" applyAlignment="1" applyProtection="1">
      <alignment horizontal="center" vertical="center" wrapText="1"/>
      <protection locked="0" hidden="1"/>
    </xf>
    <xf numFmtId="0" fontId="57" fillId="0" borderId="0" xfId="5" applyFont="1">
      <alignment vertical="center"/>
    </xf>
    <xf numFmtId="0" fontId="2" fillId="0" borderId="0" xfId="5" applyAlignment="1">
      <alignment horizontal="center" vertical="center"/>
    </xf>
    <xf numFmtId="0" fontId="59" fillId="0" borderId="0" xfId="5" applyFont="1" applyAlignment="1">
      <alignment horizontal="center" vertical="center"/>
    </xf>
    <xf numFmtId="0" fontId="65" fillId="23" borderId="34" xfId="5" applyFont="1" applyFill="1" applyBorder="1" applyAlignment="1">
      <alignment horizontal="left" vertical="center"/>
    </xf>
    <xf numFmtId="0" fontId="65" fillId="23" borderId="34" xfId="5" applyFont="1" applyFill="1" applyBorder="1" applyAlignment="1">
      <alignment horizontal="left" vertical="center" shrinkToFit="1"/>
    </xf>
    <xf numFmtId="0" fontId="67" fillId="0" borderId="0" xfId="5" applyFont="1">
      <alignment vertical="center"/>
    </xf>
    <xf numFmtId="14" fontId="15" fillId="13" borderId="34" xfId="4" applyNumberFormat="1" applyFont="1" applyFill="1" applyBorder="1" applyAlignment="1" applyProtection="1">
      <alignment horizontal="center" vertical="center"/>
      <protection hidden="1"/>
    </xf>
    <xf numFmtId="0" fontId="15" fillId="13" borderId="34" xfId="4" applyFont="1" applyFill="1" applyBorder="1" applyAlignment="1" applyProtection="1">
      <alignment horizontal="center" vertical="center"/>
      <protection hidden="1"/>
    </xf>
    <xf numFmtId="0" fontId="68" fillId="0" borderId="34" xfId="0" applyFont="1" applyBorder="1">
      <alignment vertical="center"/>
    </xf>
    <xf numFmtId="0" fontId="69" fillId="0" borderId="34" xfId="0" applyFont="1" applyBorder="1">
      <alignment vertical="center"/>
    </xf>
    <xf numFmtId="179" fontId="24" fillId="2" borderId="0" xfId="2" applyNumberFormat="1" applyFont="1" applyFill="1" applyProtection="1">
      <protection hidden="1"/>
    </xf>
    <xf numFmtId="0" fontId="16" fillId="4" borderId="34" xfId="2" applyFont="1" applyFill="1" applyBorder="1" applyAlignment="1" applyProtection="1">
      <alignment horizontal="center" vertical="center" shrinkToFit="1"/>
      <protection hidden="1"/>
    </xf>
    <xf numFmtId="0" fontId="77" fillId="10" borderId="0" xfId="0" applyFont="1" applyFill="1">
      <alignment vertical="center"/>
    </xf>
    <xf numFmtId="0" fontId="78" fillId="10" borderId="0" xfId="0" applyFont="1" applyFill="1">
      <alignment vertical="center"/>
    </xf>
    <xf numFmtId="0" fontId="79" fillId="0" borderId="0" xfId="0" applyFont="1">
      <alignment vertical="center"/>
    </xf>
    <xf numFmtId="0" fontId="47" fillId="0" borderId="0" xfId="0" applyFont="1">
      <alignment vertical="center"/>
    </xf>
    <xf numFmtId="0" fontId="32" fillId="0" borderId="0" xfId="4" applyFont="1" applyAlignment="1" applyProtection="1">
      <alignment horizontal="center" vertical="center"/>
      <protection hidden="1"/>
    </xf>
    <xf numFmtId="0" fontId="15" fillId="0" borderId="0" xfId="2" applyFont="1" applyAlignment="1" applyProtection="1">
      <alignment horizontal="left" vertical="center" shrinkToFit="1"/>
      <protection hidden="1"/>
    </xf>
    <xf numFmtId="0" fontId="15" fillId="9" borderId="23" xfId="2" applyFont="1" applyFill="1" applyBorder="1" applyAlignment="1" applyProtection="1">
      <alignment horizontal="left" vertical="center" shrinkToFit="1"/>
      <protection hidden="1"/>
    </xf>
    <xf numFmtId="0" fontId="12" fillId="4" borderId="39" xfId="2" applyFont="1" applyFill="1" applyBorder="1" applyAlignment="1" applyProtection="1">
      <alignment horizontal="center" vertical="center" wrapText="1"/>
      <protection locked="0" hidden="1"/>
    </xf>
    <xf numFmtId="0" fontId="80" fillId="12" borderId="114" xfId="4" applyFont="1" applyFill="1" applyBorder="1" applyAlignment="1" applyProtection="1">
      <alignment horizontal="left" vertical="center"/>
      <protection hidden="1"/>
    </xf>
    <xf numFmtId="0" fontId="80" fillId="12" borderId="85" xfId="4" applyFont="1" applyFill="1" applyBorder="1" applyAlignment="1" applyProtection="1">
      <alignment horizontal="center" vertical="center"/>
      <protection hidden="1"/>
    </xf>
    <xf numFmtId="0" fontId="80" fillId="12" borderId="115" xfId="4" applyFont="1" applyFill="1" applyBorder="1" applyAlignment="1" applyProtection="1">
      <alignment horizontal="center" vertical="center"/>
      <protection hidden="1"/>
    </xf>
    <xf numFmtId="0" fontId="18" fillId="18" borderId="111" xfId="4" applyFont="1" applyFill="1" applyBorder="1" applyAlignment="1" applyProtection="1">
      <alignment horizontal="center" vertical="center"/>
      <protection hidden="1"/>
    </xf>
    <xf numFmtId="0" fontId="81" fillId="18" borderId="111" xfId="4" applyFont="1" applyFill="1" applyBorder="1" applyAlignment="1" applyProtection="1">
      <alignment horizontal="center" vertical="center"/>
      <protection hidden="1"/>
    </xf>
    <xf numFmtId="177" fontId="12" fillId="9" borderId="96" xfId="4" applyNumberFormat="1" applyFont="1" applyFill="1" applyBorder="1" applyAlignment="1" applyProtection="1">
      <alignment horizontal="center" vertical="center" wrapText="1"/>
      <protection hidden="1"/>
    </xf>
    <xf numFmtId="177" fontId="12" fillId="9" borderId="116" xfId="4" applyNumberFormat="1" applyFont="1" applyFill="1" applyBorder="1" applyAlignment="1" applyProtection="1">
      <alignment horizontal="center" vertical="center" wrapText="1"/>
      <protection hidden="1"/>
    </xf>
    <xf numFmtId="0" fontId="81" fillId="18" borderId="117" xfId="4" applyFont="1" applyFill="1" applyBorder="1" applyAlignment="1" applyProtection="1">
      <alignment horizontal="center" vertical="center"/>
      <protection hidden="1"/>
    </xf>
    <xf numFmtId="177" fontId="24" fillId="13" borderId="34" xfId="4" applyNumberFormat="1" applyFont="1" applyFill="1" applyBorder="1" applyAlignment="1" applyProtection="1">
      <alignment horizontal="center" vertical="top" wrapText="1"/>
      <protection hidden="1"/>
    </xf>
    <xf numFmtId="177" fontId="12" fillId="13" borderId="34" xfId="4" applyNumberFormat="1" applyFont="1" applyFill="1" applyBorder="1" applyAlignment="1" applyProtection="1">
      <alignment horizontal="center" vertical="center" shrinkToFit="1"/>
      <protection hidden="1"/>
    </xf>
    <xf numFmtId="0" fontId="15" fillId="4" borderId="0" xfId="2" applyFont="1" applyFill="1" applyAlignment="1" applyProtection="1">
      <alignment horizontal="center" vertical="center" wrapText="1"/>
      <protection hidden="1"/>
    </xf>
    <xf numFmtId="182" fontId="66" fillId="13" borderId="33" xfId="5" applyNumberFormat="1" applyFont="1" applyFill="1" applyBorder="1" applyAlignment="1">
      <alignment horizontal="center" vertical="center"/>
    </xf>
    <xf numFmtId="0" fontId="66" fillId="13" borderId="33" xfId="5" applyFont="1" applyFill="1" applyBorder="1" applyAlignment="1">
      <alignment horizontal="center" vertical="center"/>
    </xf>
    <xf numFmtId="0" fontId="67" fillId="0" borderId="0" xfId="5" applyFont="1" applyAlignment="1">
      <alignment horizontal="center" vertical="center"/>
    </xf>
    <xf numFmtId="177" fontId="67" fillId="0" borderId="0" xfId="5" applyNumberFormat="1" applyFont="1" applyAlignment="1">
      <alignment horizontal="center" vertical="center"/>
    </xf>
    <xf numFmtId="0" fontId="68" fillId="13" borderId="0" xfId="0" applyFont="1" applyFill="1">
      <alignment vertical="center"/>
    </xf>
    <xf numFmtId="0" fontId="12" fillId="4" borderId="8" xfId="2" applyFont="1" applyFill="1" applyBorder="1" applyAlignment="1" applyProtection="1">
      <alignment horizontal="center" vertical="center" wrapText="1"/>
      <protection hidden="1"/>
    </xf>
    <xf numFmtId="0" fontId="12" fillId="4" borderId="11" xfId="2" applyFont="1" applyFill="1" applyBorder="1" applyAlignment="1" applyProtection="1">
      <alignment horizontal="center" vertical="center" wrapText="1"/>
      <protection hidden="1"/>
    </xf>
    <xf numFmtId="0" fontId="12" fillId="7" borderId="18" xfId="2" applyFont="1" applyFill="1" applyBorder="1" applyAlignment="1" applyProtection="1">
      <alignment horizontal="center" vertical="center" wrapText="1"/>
      <protection hidden="1"/>
    </xf>
    <xf numFmtId="0" fontId="0" fillId="13" borderId="0" xfId="0" applyFill="1">
      <alignment vertical="center"/>
    </xf>
    <xf numFmtId="0" fontId="57" fillId="0" borderId="0" xfId="5" applyFont="1" applyAlignment="1">
      <alignment horizontal="left" vertical="center"/>
    </xf>
    <xf numFmtId="0" fontId="15" fillId="7" borderId="34" xfId="2" applyFont="1" applyFill="1" applyBorder="1" applyAlignment="1" applyProtection="1">
      <alignment horizontal="center" vertical="center" wrapText="1" shrinkToFit="1"/>
      <protection hidden="1"/>
    </xf>
    <xf numFmtId="0" fontId="15" fillId="7" borderId="33" xfId="2" applyFont="1" applyFill="1" applyBorder="1" applyAlignment="1" applyProtection="1">
      <alignment horizontal="center" vertical="center" shrinkToFit="1"/>
      <protection hidden="1"/>
    </xf>
    <xf numFmtId="0" fontId="15" fillId="7" borderId="34" xfId="2" applyFont="1" applyFill="1" applyBorder="1" applyAlignment="1" applyProtection="1">
      <alignment horizontal="center" vertical="center" shrinkToFit="1"/>
      <protection hidden="1"/>
    </xf>
    <xf numFmtId="0" fontId="15" fillId="4" borderId="34" xfId="2" applyFont="1" applyFill="1" applyBorder="1" applyAlignment="1" applyProtection="1">
      <alignment horizontal="center" vertical="center" shrinkToFit="1"/>
      <protection hidden="1"/>
    </xf>
    <xf numFmtId="0" fontId="15" fillId="4" borderId="33" xfId="2" applyFont="1" applyFill="1" applyBorder="1" applyAlignment="1" applyProtection="1">
      <alignment horizontal="center" vertical="center" shrinkToFit="1"/>
      <protection hidden="1"/>
    </xf>
    <xf numFmtId="0" fontId="15" fillId="4" borderId="60" xfId="2" applyFont="1" applyFill="1" applyBorder="1" applyAlignment="1" applyProtection="1">
      <alignment horizontal="center" vertical="center" shrinkToFit="1"/>
      <protection hidden="1"/>
    </xf>
    <xf numFmtId="0" fontId="15" fillId="4" borderId="73" xfId="2" applyFont="1" applyFill="1" applyBorder="1" applyAlignment="1" applyProtection="1">
      <alignment horizontal="center" vertical="center" shrinkToFit="1"/>
      <protection hidden="1"/>
    </xf>
    <xf numFmtId="0" fontId="15" fillId="4" borderId="34" xfId="2" applyFont="1" applyFill="1" applyBorder="1" applyAlignment="1" applyProtection="1">
      <alignment horizontal="center" vertical="center" wrapText="1" shrinkToFit="1"/>
      <protection hidden="1"/>
    </xf>
    <xf numFmtId="0" fontId="15" fillId="4" borderId="63" xfId="2" applyFont="1" applyFill="1" applyBorder="1" applyAlignment="1" applyProtection="1">
      <alignment horizontal="center" vertical="center" shrinkToFit="1"/>
      <protection hidden="1"/>
    </xf>
    <xf numFmtId="0" fontId="86" fillId="0" borderId="0" xfId="0" applyFont="1" applyAlignment="1">
      <alignment horizontal="center" vertical="center"/>
    </xf>
    <xf numFmtId="0" fontId="87" fillId="0" borderId="7" xfId="4" applyFont="1" applyBorder="1" applyAlignment="1" applyProtection="1">
      <alignment horizontal="center" vertical="center"/>
      <protection hidden="1"/>
    </xf>
    <xf numFmtId="0" fontId="16" fillId="0" borderId="94" xfId="4" applyFont="1" applyBorder="1" applyAlignment="1" applyProtection="1">
      <alignment horizontal="center" vertical="center"/>
      <protection hidden="1"/>
    </xf>
    <xf numFmtId="0" fontId="89" fillId="0" borderId="0" xfId="4" applyFont="1" applyProtection="1">
      <alignment vertical="center"/>
      <protection hidden="1"/>
    </xf>
    <xf numFmtId="0" fontId="16" fillId="0" borderId="0" xfId="4" applyFont="1" applyAlignment="1">
      <alignment horizontal="center" vertical="top"/>
    </xf>
    <xf numFmtId="0" fontId="85" fillId="18" borderId="111" xfId="4" applyFont="1" applyFill="1" applyBorder="1" applyAlignment="1" applyProtection="1">
      <alignment horizontal="center" vertical="center"/>
      <protection hidden="1"/>
    </xf>
    <xf numFmtId="184" fontId="0" fillId="8" borderId="34" xfId="0" applyNumberFormat="1" applyFill="1" applyBorder="1" applyAlignment="1">
      <alignment horizontal="center" vertical="center"/>
    </xf>
    <xf numFmtId="184" fontId="0" fillId="20" borderId="34" xfId="0" applyNumberFormat="1" applyFill="1" applyBorder="1" applyAlignment="1">
      <alignment horizontal="center" vertical="center"/>
    </xf>
    <xf numFmtId="14" fontId="12" fillId="0" borderId="0" xfId="2" applyNumberFormat="1" applyFont="1" applyAlignment="1" applyProtection="1">
      <alignment horizontal="left" vertical="center"/>
      <protection hidden="1"/>
    </xf>
    <xf numFmtId="186" fontId="90" fillId="0" borderId="0" xfId="4" applyNumberFormat="1" applyFont="1" applyAlignment="1">
      <alignment horizontal="center" vertical="center"/>
    </xf>
    <xf numFmtId="186" fontId="90" fillId="0" borderId="118" xfId="4" applyNumberFormat="1" applyFont="1" applyBorder="1" applyAlignment="1">
      <alignment horizontal="center" vertical="center"/>
    </xf>
    <xf numFmtId="177" fontId="15" fillId="0" borderId="40" xfId="2" applyNumberFormat="1" applyFont="1" applyBorder="1" applyAlignment="1" applyProtection="1">
      <alignment horizontal="center" vertical="center" wrapText="1"/>
      <protection hidden="1"/>
    </xf>
    <xf numFmtId="0" fontId="17" fillId="2" borderId="0" xfId="2" applyFont="1" applyFill="1" applyAlignment="1" applyProtection="1">
      <alignment horizontal="left" vertical="center"/>
      <protection hidden="1"/>
    </xf>
    <xf numFmtId="180" fontId="15" fillId="0" borderId="0" xfId="2" applyNumberFormat="1" applyFont="1" applyAlignment="1" applyProtection="1">
      <alignment horizontal="center" vertical="center" wrapText="1"/>
      <protection hidden="1"/>
    </xf>
    <xf numFmtId="0" fontId="72" fillId="0" borderId="0" xfId="0" applyFont="1">
      <alignment vertical="center"/>
    </xf>
    <xf numFmtId="0" fontId="16" fillId="0" borderId="0" xfId="2" applyFont="1" applyAlignment="1" applyProtection="1">
      <alignment horizontal="left" vertical="center" wrapText="1"/>
      <protection locked="0" hidden="1"/>
    </xf>
    <xf numFmtId="0" fontId="16" fillId="0" borderId="49" xfId="2" applyFont="1" applyBorder="1" applyAlignment="1" applyProtection="1">
      <alignment horizontal="left" vertical="center" wrapText="1"/>
      <protection locked="0" hidden="1"/>
    </xf>
    <xf numFmtId="0" fontId="16" fillId="5" borderId="0" xfId="2" applyFont="1" applyFill="1" applyAlignment="1" applyProtection="1">
      <alignment horizontal="left" vertical="center" wrapText="1"/>
      <protection locked="0" hidden="1"/>
    </xf>
    <xf numFmtId="0" fontId="37" fillId="18" borderId="119" xfId="0" applyFont="1" applyFill="1" applyBorder="1" applyAlignment="1" applyProtection="1">
      <alignment horizontal="center" vertical="center"/>
      <protection hidden="1"/>
    </xf>
    <xf numFmtId="0" fontId="16" fillId="7" borderId="34" xfId="2" applyFont="1" applyFill="1" applyBorder="1" applyAlignment="1" applyProtection="1">
      <alignment horizontal="center" vertical="center" shrinkToFit="1"/>
      <protection hidden="1"/>
    </xf>
    <xf numFmtId="0" fontId="94" fillId="24" borderId="0" xfId="7" applyFont="1" applyFill="1">
      <alignment vertical="center"/>
    </xf>
    <xf numFmtId="0" fontId="95" fillId="0" borderId="0" xfId="7" applyFont="1">
      <alignment vertical="center"/>
    </xf>
    <xf numFmtId="0" fontId="93" fillId="12" borderId="0" xfId="7" applyFont="1" applyFill="1">
      <alignment vertical="center"/>
    </xf>
    <xf numFmtId="0" fontId="96" fillId="26" borderId="34" xfId="5" applyFont="1" applyFill="1" applyBorder="1" applyAlignment="1">
      <alignment horizontal="center" vertical="center"/>
    </xf>
    <xf numFmtId="0" fontId="74" fillId="24" borderId="34" xfId="5" applyFont="1" applyFill="1" applyBorder="1">
      <alignment vertical="center"/>
    </xf>
    <xf numFmtId="0" fontId="75" fillId="24" borderId="34" xfId="5" applyFont="1" applyFill="1" applyBorder="1">
      <alignment vertical="center"/>
    </xf>
    <xf numFmtId="0" fontId="75" fillId="24" borderId="33" xfId="5" applyFont="1" applyFill="1" applyBorder="1">
      <alignment vertical="center"/>
    </xf>
    <xf numFmtId="0" fontId="75" fillId="24" borderId="34" xfId="5" applyFont="1" applyFill="1" applyBorder="1" applyAlignment="1">
      <alignment horizontal="center" vertical="center"/>
    </xf>
    <xf numFmtId="0" fontId="75" fillId="24" borderId="0" xfId="5" applyFont="1" applyFill="1" applyAlignment="1">
      <alignment horizontal="center" vertical="center"/>
    </xf>
    <xf numFmtId="0" fontId="72" fillId="0" borderId="0" xfId="5" applyFont="1">
      <alignment vertical="center"/>
    </xf>
    <xf numFmtId="0" fontId="70" fillId="0" borderId="0" xfId="5" applyFont="1" applyAlignment="1">
      <alignment vertical="center" shrinkToFit="1"/>
    </xf>
    <xf numFmtId="0" fontId="70" fillId="0" borderId="0" xfId="5" applyFont="1">
      <alignment vertical="center"/>
    </xf>
    <xf numFmtId="0" fontId="70" fillId="0" borderId="0" xfId="5" applyFont="1" applyAlignment="1">
      <alignment horizontal="center" vertical="center"/>
    </xf>
    <xf numFmtId="0" fontId="73" fillId="0" borderId="0" xfId="5" applyFont="1">
      <alignment vertical="center"/>
    </xf>
    <xf numFmtId="0" fontId="72" fillId="0" borderId="0" xfId="5" applyFont="1" applyAlignment="1">
      <alignment horizontal="center" vertical="center"/>
    </xf>
    <xf numFmtId="14" fontId="71" fillId="0" borderId="0" xfId="5" applyNumberFormat="1" applyFont="1" applyAlignment="1">
      <alignment horizontal="center" vertical="center"/>
    </xf>
    <xf numFmtId="0" fontId="70" fillId="0" borderId="0" xfId="5" applyFont="1" applyAlignment="1">
      <alignment horizontal="center" vertical="center" shrinkToFit="1"/>
    </xf>
    <xf numFmtId="187" fontId="70" fillId="0" borderId="0" xfId="5" applyNumberFormat="1" applyFont="1" applyAlignment="1">
      <alignment horizontal="center" vertical="center"/>
    </xf>
    <xf numFmtId="0" fontId="70" fillId="0" borderId="34" xfId="5" applyFont="1" applyBorder="1" applyAlignment="1">
      <alignment vertical="center" shrinkToFit="1"/>
    </xf>
    <xf numFmtId="0" fontId="46" fillId="0" borderId="34" xfId="5" applyFont="1" applyBorder="1" applyAlignment="1">
      <alignment horizontal="center" vertical="center" shrinkToFit="1"/>
    </xf>
    <xf numFmtId="0" fontId="70" fillId="0" borderId="34" xfId="5" applyFont="1" applyBorder="1" applyAlignment="1">
      <alignment horizontal="left" vertical="center" shrinkToFit="1"/>
    </xf>
    <xf numFmtId="0" fontId="71" fillId="0" borderId="0" xfId="5" applyFont="1">
      <alignment vertical="center"/>
    </xf>
    <xf numFmtId="0" fontId="70" fillId="0" borderId="34" xfId="5" quotePrefix="1" applyFont="1" applyBorder="1" applyAlignment="1">
      <alignment vertical="center" shrinkToFit="1"/>
    </xf>
    <xf numFmtId="187" fontId="70" fillId="0" borderId="34" xfId="5" applyNumberFormat="1" applyFont="1" applyBorder="1" applyAlignment="1">
      <alignment horizontal="center" vertical="center"/>
    </xf>
    <xf numFmtId="0" fontId="67" fillId="0" borderId="0" xfId="5" applyFont="1" applyAlignment="1">
      <alignment horizontal="left" vertical="center"/>
    </xf>
    <xf numFmtId="0" fontId="70" fillId="0" borderId="34" xfId="5" applyFont="1" applyBorder="1" applyAlignment="1">
      <alignment horizontal="center" vertical="center" shrinkToFit="1"/>
    </xf>
    <xf numFmtId="0" fontId="97" fillId="24" borderId="0" xfId="7" applyFont="1" applyFill="1">
      <alignment vertical="center"/>
    </xf>
    <xf numFmtId="1" fontId="70" fillId="0" borderId="34" xfId="5" applyNumberFormat="1" applyFont="1" applyBorder="1" applyAlignment="1">
      <alignment vertical="center" shrinkToFit="1"/>
    </xf>
    <xf numFmtId="1" fontId="70" fillId="0" borderId="23" xfId="5" applyNumberFormat="1" applyFont="1" applyBorder="1" applyAlignment="1">
      <alignment vertical="center" shrinkToFit="1"/>
    </xf>
    <xf numFmtId="0" fontId="70" fillId="0" borderId="34" xfId="5" applyFont="1" applyBorder="1" applyAlignment="1">
      <alignment horizontal="center" vertical="center"/>
    </xf>
    <xf numFmtId="0" fontId="98" fillId="27" borderId="34" xfId="5" applyFont="1" applyFill="1" applyBorder="1" applyAlignment="1">
      <alignment horizontal="left" vertical="center"/>
    </xf>
    <xf numFmtId="0" fontId="47" fillId="27" borderId="34" xfId="5" applyFont="1" applyFill="1" applyBorder="1" applyAlignment="1">
      <alignment horizontal="center" vertical="center" shrinkToFit="1"/>
    </xf>
    <xf numFmtId="0" fontId="47" fillId="27" borderId="33" xfId="5" applyFont="1" applyFill="1" applyBorder="1" applyAlignment="1">
      <alignment horizontal="center" vertical="center" shrinkToFit="1"/>
    </xf>
    <xf numFmtId="0" fontId="46" fillId="27" borderId="34" xfId="5" applyFont="1" applyFill="1" applyBorder="1" applyAlignment="1">
      <alignment vertical="center" shrinkToFit="1"/>
    </xf>
    <xf numFmtId="177" fontId="16" fillId="0" borderId="34" xfId="2" applyNumberFormat="1" applyFont="1" applyBorder="1" applyAlignment="1" applyProtection="1">
      <alignment horizontal="center" vertical="center" shrinkToFit="1"/>
      <protection hidden="1"/>
    </xf>
    <xf numFmtId="0" fontId="16" fillId="0" borderId="34" xfId="2" applyFont="1" applyBorder="1" applyAlignment="1" applyProtection="1">
      <alignment horizontal="center" vertical="center" shrinkToFit="1"/>
      <protection hidden="1"/>
    </xf>
    <xf numFmtId="189" fontId="15" fillId="0" borderId="34" xfId="2" applyNumberFormat="1" applyFont="1" applyBorder="1" applyAlignment="1" applyProtection="1">
      <alignment horizontal="center" vertical="center" shrinkToFit="1"/>
      <protection hidden="1"/>
    </xf>
    <xf numFmtId="178" fontId="15" fillId="9" borderId="66" xfId="2" applyNumberFormat="1" applyFont="1" applyFill="1" applyBorder="1" applyAlignment="1" applyProtection="1">
      <alignment horizontal="right" vertical="center" wrapText="1"/>
      <protection hidden="1"/>
    </xf>
    <xf numFmtId="178" fontId="15" fillId="9" borderId="67" xfId="2" applyNumberFormat="1" applyFont="1" applyFill="1" applyBorder="1" applyAlignment="1" applyProtection="1">
      <alignment horizontal="right" vertical="center" wrapText="1"/>
      <protection hidden="1"/>
    </xf>
    <xf numFmtId="0" fontId="0" fillId="18" borderId="111" xfId="0" quotePrefix="1" applyFill="1" applyBorder="1">
      <alignment vertical="center"/>
    </xf>
    <xf numFmtId="0" fontId="71" fillId="0" borderId="34" xfId="5" applyFont="1" applyBorder="1" applyAlignment="1">
      <alignment horizontal="center" vertical="center"/>
    </xf>
    <xf numFmtId="177" fontId="47" fillId="28" borderId="0" xfId="5" applyNumberFormat="1" applyFont="1" applyFill="1" applyAlignment="1">
      <alignment horizontal="center" vertical="center"/>
    </xf>
    <xf numFmtId="177" fontId="47" fillId="28" borderId="34" xfId="5" applyNumberFormat="1" applyFont="1" applyFill="1" applyBorder="1" applyAlignment="1">
      <alignment horizontal="center" vertical="center"/>
    </xf>
    <xf numFmtId="0" fontId="100" fillId="27" borderId="0" xfId="5" applyFont="1" applyFill="1" applyAlignment="1">
      <alignment horizontal="left" vertical="center"/>
    </xf>
    <xf numFmtId="0" fontId="95" fillId="0" borderId="0" xfId="7" applyFont="1" applyProtection="1">
      <alignment vertical="center"/>
      <protection locked="0"/>
    </xf>
    <xf numFmtId="188" fontId="95" fillId="0" borderId="0" xfId="7" applyNumberFormat="1" applyFont="1" applyProtection="1">
      <alignment vertical="center"/>
      <protection locked="0"/>
    </xf>
    <xf numFmtId="187" fontId="7" fillId="2" borderId="0" xfId="2" applyNumberFormat="1" applyFont="1" applyFill="1" applyProtection="1">
      <protection hidden="1"/>
    </xf>
    <xf numFmtId="0" fontId="35" fillId="21" borderId="0" xfId="4" applyFont="1" applyFill="1">
      <alignment vertical="center"/>
    </xf>
    <xf numFmtId="14" fontId="76" fillId="12" borderId="81" xfId="4" applyNumberFormat="1" applyFont="1" applyFill="1" applyBorder="1" applyAlignment="1" applyProtection="1">
      <alignment horizontal="center" vertical="center"/>
      <protection hidden="1"/>
    </xf>
    <xf numFmtId="14" fontId="76" fillId="12" borderId="84" xfId="4" applyNumberFormat="1" applyFont="1" applyFill="1" applyBorder="1" applyAlignment="1" applyProtection="1">
      <alignment horizontal="center" vertical="center"/>
      <protection hidden="1"/>
    </xf>
    <xf numFmtId="0" fontId="102" fillId="0" borderId="0" xfId="4" applyFont="1" applyAlignment="1" applyProtection="1">
      <alignment horizontal="center" vertical="center"/>
      <protection hidden="1"/>
    </xf>
    <xf numFmtId="0" fontId="19" fillId="0" borderId="0" xfId="4" applyFont="1" applyAlignment="1" applyProtection="1">
      <alignment horizontal="right" vertical="center"/>
      <protection hidden="1"/>
    </xf>
    <xf numFmtId="0" fontId="19" fillId="0" borderId="0" xfId="4" applyFont="1" applyAlignment="1" applyProtection="1">
      <alignment horizontal="center" vertical="center"/>
      <protection hidden="1"/>
    </xf>
    <xf numFmtId="0" fontId="106" fillId="0" borderId="0" xfId="4" applyFont="1" applyAlignment="1" applyProtection="1">
      <alignment horizontal="center" vertical="center"/>
      <protection hidden="1"/>
    </xf>
    <xf numFmtId="0" fontId="107" fillId="0" borderId="0" xfId="4" applyFont="1" applyAlignment="1">
      <alignment horizontal="left" vertical="center" shrinkToFit="1"/>
    </xf>
    <xf numFmtId="0" fontId="108" fillId="0" borderId="0" xfId="4" applyFont="1" applyAlignment="1" applyProtection="1">
      <alignment horizontal="center" vertical="center"/>
      <protection hidden="1"/>
    </xf>
    <xf numFmtId="0" fontId="100" fillId="0" borderId="0" xfId="0" applyFont="1">
      <alignment vertical="center"/>
    </xf>
    <xf numFmtId="0" fontId="100" fillId="0" borderId="0" xfId="0" applyFont="1" applyAlignment="1">
      <alignment horizontal="center" vertical="center"/>
    </xf>
    <xf numFmtId="0" fontId="76" fillId="12" borderId="122" xfId="4" applyFont="1" applyFill="1" applyBorder="1" applyAlignment="1" applyProtection="1">
      <alignment horizontal="center" vertical="center"/>
      <protection hidden="1"/>
    </xf>
    <xf numFmtId="0" fontId="105" fillId="12" borderId="20" xfId="4" applyFont="1" applyFill="1" applyBorder="1" applyAlignment="1" applyProtection="1">
      <alignment horizontal="center" vertical="center"/>
      <protection hidden="1"/>
    </xf>
    <xf numFmtId="177" fontId="18" fillId="9" borderId="123" xfId="4" applyNumberFormat="1" applyFont="1" applyFill="1" applyBorder="1" applyAlignment="1" applyProtection="1">
      <alignment horizontal="center" vertical="center" wrapText="1"/>
      <protection hidden="1"/>
    </xf>
    <xf numFmtId="177" fontId="12" fillId="9" borderId="124" xfId="4" applyNumberFormat="1" applyFont="1" applyFill="1" applyBorder="1" applyAlignment="1" applyProtection="1">
      <alignment horizontal="center" vertical="center" wrapText="1"/>
      <protection hidden="1"/>
    </xf>
    <xf numFmtId="183" fontId="88" fillId="17" borderId="125" xfId="4" applyNumberFormat="1" applyFont="1" applyFill="1" applyBorder="1" applyAlignment="1" applyProtection="1">
      <alignment horizontal="center" vertical="center" wrapText="1"/>
      <protection hidden="1"/>
    </xf>
    <xf numFmtId="0" fontId="15" fillId="30" borderId="34" xfId="2" applyFont="1" applyFill="1" applyBorder="1" applyAlignment="1" applyProtection="1">
      <alignment horizontal="left" vertical="center" shrinkToFit="1"/>
      <protection hidden="1"/>
    </xf>
    <xf numFmtId="0" fontId="15" fillId="27" borderId="23" xfId="2" applyFont="1" applyFill="1" applyBorder="1" applyAlignment="1" applyProtection="1">
      <alignment horizontal="center" vertical="center" shrinkToFit="1"/>
      <protection hidden="1"/>
    </xf>
    <xf numFmtId="191" fontId="50" fillId="0" borderId="0" xfId="2" applyNumberFormat="1" applyFont="1" applyAlignment="1" applyProtection="1">
      <alignment horizontal="center" vertical="center" wrapText="1"/>
      <protection hidden="1"/>
    </xf>
    <xf numFmtId="0" fontId="109" fillId="2" borderId="0" xfId="2" applyFont="1" applyFill="1" applyProtection="1">
      <protection hidden="1"/>
    </xf>
    <xf numFmtId="0" fontId="110" fillId="0" borderId="0" xfId="0" applyFont="1" applyAlignment="1">
      <alignment horizontal="center" vertical="center"/>
    </xf>
    <xf numFmtId="0" fontId="110" fillId="0" borderId="0" xfId="0" applyFont="1">
      <alignment vertical="center"/>
    </xf>
    <xf numFmtId="0" fontId="103" fillId="21" borderId="0" xfId="2" applyFont="1" applyFill="1" applyAlignment="1" applyProtection="1">
      <alignment horizontal="left" vertical="center"/>
      <protection hidden="1"/>
    </xf>
    <xf numFmtId="0" fontId="110" fillId="21" borderId="0" xfId="0" applyFont="1" applyFill="1" applyAlignment="1">
      <alignment horizontal="center" vertical="center"/>
    </xf>
    <xf numFmtId="0" fontId="110" fillId="21" borderId="0" xfId="0" applyFont="1" applyFill="1">
      <alignment vertical="center"/>
    </xf>
    <xf numFmtId="0" fontId="100" fillId="21" borderId="0" xfId="0" applyFont="1" applyFill="1">
      <alignment vertical="center"/>
    </xf>
    <xf numFmtId="0" fontId="19" fillId="0" borderId="0" xfId="2" applyFont="1" applyAlignment="1" applyProtection="1">
      <alignment vertical="center"/>
      <protection hidden="1"/>
    </xf>
    <xf numFmtId="0" fontId="18" fillId="2" borderId="0" xfId="2" applyFont="1" applyFill="1" applyAlignment="1" applyProtection="1">
      <alignment vertical="center"/>
      <protection hidden="1"/>
    </xf>
    <xf numFmtId="0" fontId="18" fillId="25" borderId="0" xfId="2" applyFont="1" applyFill="1" applyAlignment="1" applyProtection="1">
      <alignment vertical="center"/>
      <protection hidden="1"/>
    </xf>
    <xf numFmtId="0" fontId="18" fillId="0" borderId="0" xfId="2" applyFont="1" applyAlignment="1" applyProtection="1">
      <alignment horizontal="left" vertical="center"/>
      <protection hidden="1"/>
    </xf>
    <xf numFmtId="0" fontId="109" fillId="2" borderId="0" xfId="2" applyFont="1" applyFill="1"/>
    <xf numFmtId="0" fontId="110" fillId="0" borderId="0" xfId="0" applyFont="1" applyAlignment="1">
      <alignment horizontal="left" vertical="center"/>
    </xf>
    <xf numFmtId="187" fontId="103" fillId="2" borderId="0" xfId="2" applyNumberFormat="1" applyFont="1" applyFill="1" applyAlignment="1" applyProtection="1">
      <alignment vertical="center"/>
      <protection hidden="1"/>
    </xf>
    <xf numFmtId="187" fontId="110" fillId="21" borderId="0" xfId="0" applyNumberFormat="1" applyFont="1" applyFill="1">
      <alignment vertical="center"/>
    </xf>
    <xf numFmtId="0" fontId="111" fillId="21" borderId="0" xfId="0" applyFont="1" applyFill="1">
      <alignment vertical="center"/>
    </xf>
    <xf numFmtId="177" fontId="110" fillId="0" borderId="0" xfId="0" applyNumberFormat="1" applyFont="1">
      <alignment vertical="center"/>
    </xf>
    <xf numFmtId="0" fontId="111" fillId="21" borderId="0" xfId="0" applyFont="1" applyFill="1" applyAlignment="1">
      <alignment horizontal="center" vertical="center"/>
    </xf>
    <xf numFmtId="177" fontId="112" fillId="0" borderId="0" xfId="0" applyNumberFormat="1" applyFont="1">
      <alignment vertical="center"/>
    </xf>
    <xf numFmtId="0" fontId="49" fillId="2" borderId="0" xfId="2" applyFont="1" applyFill="1" applyProtection="1">
      <protection hidden="1"/>
    </xf>
    <xf numFmtId="0" fontId="110" fillId="0" borderId="34" xfId="0" applyFont="1" applyBorder="1" applyAlignment="1">
      <alignment horizontal="center" vertical="center"/>
    </xf>
    <xf numFmtId="0" fontId="18" fillId="2" borderId="0" xfId="2" applyFont="1" applyFill="1" applyProtection="1">
      <protection hidden="1"/>
    </xf>
    <xf numFmtId="0" fontId="101" fillId="21" borderId="0" xfId="4" applyFont="1" applyFill="1" applyAlignment="1">
      <alignment horizontal="center" vertical="center"/>
    </xf>
    <xf numFmtId="0" fontId="35" fillId="21" borderId="0" xfId="4" applyFont="1" applyFill="1" applyAlignment="1">
      <alignment horizontal="center" vertical="center"/>
    </xf>
    <xf numFmtId="0" fontId="89" fillId="21" borderId="0" xfId="4" applyFont="1" applyFill="1" applyAlignment="1">
      <alignment horizontal="center" vertical="center"/>
    </xf>
    <xf numFmtId="0" fontId="89" fillId="0" borderId="0" xfId="4" applyFont="1" applyAlignment="1" applyProtection="1">
      <alignment horizontal="center" vertical="center"/>
      <protection hidden="1"/>
    </xf>
    <xf numFmtId="0" fontId="12" fillId="0" borderId="0" xfId="4" applyFont="1" applyAlignment="1">
      <alignment horizontal="center" vertical="top"/>
    </xf>
    <xf numFmtId="0" fontId="89" fillId="0" borderId="0" xfId="4" applyFont="1" applyAlignment="1">
      <alignment horizontal="center" vertical="center"/>
    </xf>
    <xf numFmtId="0" fontId="36" fillId="0" borderId="0" xfId="4" applyFont="1" applyAlignment="1">
      <alignment horizontal="center" vertical="center"/>
    </xf>
    <xf numFmtId="0" fontId="71" fillId="0" borderId="0" xfId="0" applyFont="1" applyAlignment="1">
      <alignment horizontal="center" vertical="center"/>
    </xf>
    <xf numFmtId="0" fontId="101" fillId="21" borderId="0" xfId="4" applyFont="1" applyFill="1" applyAlignment="1">
      <alignment horizontal="left" vertical="center"/>
    </xf>
    <xf numFmtId="177" fontId="14" fillId="8" borderId="88" xfId="4" applyNumberFormat="1" applyFont="1" applyFill="1" applyBorder="1" applyAlignment="1" applyProtection="1">
      <alignment vertical="center" shrinkToFit="1"/>
      <protection hidden="1"/>
    </xf>
    <xf numFmtId="177" fontId="88" fillId="8" borderId="89" xfId="4" applyNumberFormat="1" applyFont="1" applyFill="1" applyBorder="1" applyAlignment="1" applyProtection="1">
      <alignment vertical="center" shrinkToFit="1"/>
      <protection hidden="1"/>
    </xf>
    <xf numFmtId="177" fontId="14" fillId="8" borderId="90" xfId="4" applyNumberFormat="1" applyFont="1" applyFill="1" applyBorder="1" applyAlignment="1" applyProtection="1">
      <alignment vertical="center" shrinkToFit="1"/>
      <protection hidden="1"/>
    </xf>
    <xf numFmtId="192" fontId="0" fillId="0" borderId="0" xfId="0" applyNumberFormat="1" applyAlignment="1">
      <alignment horizontal="center" vertical="center"/>
    </xf>
    <xf numFmtId="0" fontId="0" fillId="0" borderId="20" xfId="0" applyBorder="1">
      <alignment vertical="center"/>
    </xf>
    <xf numFmtId="0" fontId="0" fillId="0" borderId="9" xfId="0" applyBorder="1">
      <alignment vertical="center"/>
    </xf>
    <xf numFmtId="0" fontId="42" fillId="19" borderId="0" xfId="0" applyFont="1" applyFill="1" applyAlignment="1">
      <alignment horizontal="left" vertical="center"/>
    </xf>
    <xf numFmtId="49" fontId="0" fillId="0" borderId="132" xfId="0" applyNumberFormat="1" applyBorder="1" applyAlignment="1">
      <alignment horizontal="left" vertical="center"/>
    </xf>
    <xf numFmtId="0" fontId="118" fillId="0" borderId="133" xfId="0" applyFont="1" applyBorder="1" applyAlignment="1">
      <alignment horizontal="left" vertical="center" wrapText="1" readingOrder="1"/>
    </xf>
    <xf numFmtId="0" fontId="0" fillId="0" borderId="133" xfId="0" applyBorder="1" applyAlignment="1">
      <alignment horizontal="left" vertical="center" wrapText="1" readingOrder="1"/>
    </xf>
    <xf numFmtId="49" fontId="0" fillId="0" borderId="135" xfId="0" applyNumberFormat="1" applyBorder="1" applyAlignment="1">
      <alignment horizontal="left" vertical="center"/>
    </xf>
    <xf numFmtId="11" fontId="0" fillId="0" borderId="132" xfId="0" applyNumberFormat="1" applyBorder="1" applyAlignment="1">
      <alignment horizontal="left" vertical="center"/>
    </xf>
    <xf numFmtId="0" fontId="41" fillId="31" borderId="34" xfId="0" applyFont="1" applyFill="1" applyBorder="1" applyAlignment="1">
      <alignment horizontal="left" vertical="center"/>
    </xf>
    <xf numFmtId="0" fontId="0" fillId="0" borderId="0" xfId="0" applyAlignment="1">
      <alignment vertical="center" textRotation="255"/>
    </xf>
    <xf numFmtId="0" fontId="0" fillId="21" borderId="0" xfId="0" applyFill="1" applyAlignment="1">
      <alignment vertical="center" textRotation="255"/>
    </xf>
    <xf numFmtId="0" fontId="0" fillId="0" borderId="0" xfId="0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31" xfId="0" applyBorder="1" applyAlignment="1">
      <alignment horizontal="left" vertical="center"/>
    </xf>
    <xf numFmtId="0" fontId="0" fillId="0" borderId="0" xfId="0" applyAlignment="1">
      <alignment horizontal="center" vertical="center" textRotation="255"/>
    </xf>
    <xf numFmtId="0" fontId="0" fillId="0" borderId="0" xfId="0" applyAlignment="1">
      <alignment vertical="center" textRotation="255" shrinkToFit="1"/>
    </xf>
    <xf numFmtId="0" fontId="0" fillId="0" borderId="0" xfId="0" applyAlignment="1">
      <alignment vertical="center" shrinkToFit="1"/>
    </xf>
    <xf numFmtId="192" fontId="120" fillId="24" borderId="33" xfId="0" applyNumberFormat="1" applyFont="1" applyFill="1" applyBorder="1" applyAlignment="1" applyProtection="1">
      <alignment horizontal="center" vertical="center" shrinkToFit="1"/>
      <protection locked="0"/>
    </xf>
    <xf numFmtId="0" fontId="120" fillId="24" borderId="25" xfId="0" applyFont="1" applyFill="1" applyBorder="1" applyAlignment="1" applyProtection="1">
      <alignment horizontal="center" vertical="center" shrinkToFit="1"/>
      <protection locked="0"/>
    </xf>
    <xf numFmtId="0" fontId="120" fillId="24" borderId="33" xfId="0" applyFont="1" applyFill="1" applyBorder="1" applyAlignment="1" applyProtection="1">
      <alignment horizontal="center" vertical="center" shrinkToFit="1"/>
      <protection locked="0"/>
    </xf>
    <xf numFmtId="0" fontId="120" fillId="24" borderId="26" xfId="0" applyFont="1" applyFill="1" applyBorder="1" applyAlignment="1" applyProtection="1">
      <alignment horizontal="center" vertical="center" wrapText="1" shrinkToFit="1"/>
      <protection locked="0"/>
    </xf>
    <xf numFmtId="49" fontId="120" fillId="24" borderId="25" xfId="0" applyNumberFormat="1" applyFont="1" applyFill="1" applyBorder="1" applyAlignment="1" applyProtection="1">
      <alignment horizontal="center" vertical="center" shrinkToFit="1"/>
      <protection locked="0"/>
    </xf>
    <xf numFmtId="0" fontId="120" fillId="24" borderId="33" xfId="0" applyFont="1" applyFill="1" applyBorder="1" applyAlignment="1" applyProtection="1">
      <alignment horizontal="center" vertical="center" textRotation="255" shrinkToFit="1"/>
      <protection locked="0"/>
    </xf>
    <xf numFmtId="0" fontId="121" fillId="0" borderId="0" xfId="4" applyFont="1">
      <alignment vertical="center"/>
    </xf>
    <xf numFmtId="3" fontId="64" fillId="0" borderId="0" xfId="0" applyNumberFormat="1" applyFont="1">
      <alignment vertical="center"/>
    </xf>
    <xf numFmtId="0" fontId="64" fillId="0" borderId="0" xfId="0" applyFont="1">
      <alignment vertical="center"/>
    </xf>
    <xf numFmtId="49" fontId="120" fillId="0" borderId="25" xfId="0" applyNumberFormat="1" applyFont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left" vertical="center"/>
    </xf>
    <xf numFmtId="0" fontId="0" fillId="0" borderId="139" xfId="0" applyBorder="1" applyAlignment="1">
      <alignment horizontal="center" vertical="center"/>
    </xf>
    <xf numFmtId="0" fontId="0" fillId="0" borderId="139" xfId="0" applyBorder="1">
      <alignment vertical="center"/>
    </xf>
    <xf numFmtId="192" fontId="0" fillId="0" borderId="139" xfId="0" applyNumberFormat="1" applyBorder="1" applyAlignment="1">
      <alignment horizontal="center" vertical="center"/>
    </xf>
    <xf numFmtId="0" fontId="0" fillId="0" borderId="139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06" xfId="0" applyBorder="1">
      <alignment vertical="center"/>
    </xf>
    <xf numFmtId="0" fontId="0" fillId="0" borderId="5" xfId="0" applyBorder="1">
      <alignment vertical="center"/>
    </xf>
    <xf numFmtId="192" fontId="124" fillId="33" borderId="0" xfId="0" applyNumberFormat="1" applyFont="1" applyFill="1" applyAlignment="1">
      <alignment horizontal="center" vertical="center"/>
    </xf>
    <xf numFmtId="0" fontId="125" fillId="33" borderId="0" xfId="0" applyFont="1" applyFill="1" applyAlignment="1">
      <alignment horizontal="center" vertical="center"/>
    </xf>
    <xf numFmtId="192" fontId="125" fillId="33" borderId="0" xfId="0" applyNumberFormat="1" applyFont="1" applyFill="1" applyAlignment="1">
      <alignment horizontal="center" vertical="center"/>
    </xf>
    <xf numFmtId="0" fontId="125" fillId="33" borderId="0" xfId="0" applyFont="1" applyFill="1" applyAlignment="1">
      <alignment horizontal="left" vertical="center"/>
    </xf>
    <xf numFmtId="0" fontId="0" fillId="0" borderId="34" xfId="0" applyBorder="1">
      <alignment vertical="center"/>
    </xf>
    <xf numFmtId="182" fontId="126" fillId="0" borderId="0" xfId="0" applyNumberFormat="1" applyFont="1">
      <alignment vertical="center"/>
    </xf>
    <xf numFmtId="0" fontId="117" fillId="34" borderId="25" xfId="0" applyFont="1" applyFill="1" applyBorder="1" applyAlignment="1" applyProtection="1">
      <alignment horizontal="center" vertical="center" shrinkToFit="1"/>
      <protection locked="0"/>
    </xf>
    <xf numFmtId="0" fontId="128" fillId="0" borderId="0" xfId="0" applyFont="1" applyAlignment="1">
      <alignment horizontal="center" vertical="center"/>
    </xf>
    <xf numFmtId="0" fontId="15" fillId="35" borderId="0" xfId="2" applyFont="1" applyFill="1" applyAlignment="1" applyProtection="1">
      <alignment horizontal="center" vertical="center" wrapText="1"/>
      <protection hidden="1"/>
    </xf>
    <xf numFmtId="0" fontId="61" fillId="22" borderId="33" xfId="6" applyFont="1" applyFill="1" applyBorder="1" applyAlignment="1">
      <alignment horizontal="center" vertical="center" shrinkToFit="1"/>
    </xf>
    <xf numFmtId="0" fontId="62" fillId="22" borderId="33" xfId="5" applyFont="1" applyFill="1" applyBorder="1">
      <alignment vertical="center"/>
    </xf>
    <xf numFmtId="0" fontId="62" fillId="22" borderId="33" xfId="5" applyFont="1" applyFill="1" applyBorder="1" applyAlignment="1">
      <alignment horizontal="center" vertical="center"/>
    </xf>
    <xf numFmtId="0" fontId="84" fillId="22" borderId="33" xfId="6" applyFont="1" applyFill="1" applyBorder="1" applyAlignment="1">
      <alignment horizontal="center" vertical="center" wrapText="1" shrinkToFit="1"/>
    </xf>
    <xf numFmtId="0" fontId="84" fillId="22" borderId="33" xfId="6" applyFont="1" applyFill="1" applyBorder="1" applyAlignment="1">
      <alignment horizontal="center" vertical="center"/>
    </xf>
    <xf numFmtId="0" fontId="63" fillId="22" borderId="33" xfId="6" applyFont="1" applyFill="1" applyBorder="1" applyAlignment="1">
      <alignment horizontal="center" vertical="center" shrinkToFit="1"/>
    </xf>
    <xf numFmtId="0" fontId="64" fillId="22" borderId="33" xfId="5" applyFont="1" applyFill="1" applyBorder="1" applyAlignment="1">
      <alignment horizontal="center" vertical="center"/>
    </xf>
    <xf numFmtId="0" fontId="0" fillId="23" borderId="34" xfId="0" applyFill="1" applyBorder="1" applyProtection="1">
      <alignment vertical="center"/>
      <protection locked="0"/>
    </xf>
    <xf numFmtId="0" fontId="0" fillId="0" borderId="34" xfId="0" applyBorder="1" applyAlignment="1">
      <alignment horizontal="center" vertical="center"/>
    </xf>
    <xf numFmtId="195" fontId="0" fillId="0" borderId="34" xfId="0" applyNumberFormat="1" applyBorder="1">
      <alignment vertical="center"/>
    </xf>
    <xf numFmtId="193" fontId="7" fillId="2" borderId="0" xfId="2" applyNumberFormat="1" applyFont="1" applyFill="1" applyAlignment="1" applyProtection="1">
      <alignment vertical="center"/>
      <protection locked="0"/>
    </xf>
    <xf numFmtId="0" fontId="123" fillId="0" borderId="0" xfId="2" applyFont="1" applyAlignment="1" applyProtection="1">
      <alignment horizontal="center" vertical="center"/>
      <protection hidden="1"/>
    </xf>
    <xf numFmtId="185" fontId="16" fillId="6" borderId="45" xfId="2" applyNumberFormat="1" applyFont="1" applyFill="1" applyBorder="1" applyAlignment="1" applyProtection="1">
      <alignment horizontal="left" vertical="center" wrapText="1"/>
      <protection locked="0"/>
    </xf>
    <xf numFmtId="0" fontId="110" fillId="36" borderId="0" xfId="0" applyFont="1" applyFill="1">
      <alignment vertical="center"/>
    </xf>
    <xf numFmtId="0" fontId="91" fillId="2" borderId="0" xfId="2" applyFont="1" applyFill="1" applyAlignment="1" applyProtection="1">
      <alignment horizontal="center" vertical="center" wrapText="1"/>
      <protection hidden="1"/>
    </xf>
    <xf numFmtId="187" fontId="0" fillId="0" borderId="0" xfId="0" applyNumberFormat="1" applyAlignment="1">
      <alignment horizontal="center" vertical="center"/>
    </xf>
    <xf numFmtId="187" fontId="0" fillId="0" borderId="139" xfId="0" applyNumberFormat="1" applyBorder="1" applyAlignment="1">
      <alignment horizontal="center" vertical="center"/>
    </xf>
    <xf numFmtId="0" fontId="0" fillId="0" borderId="33" xfId="0" applyBorder="1">
      <alignment vertical="center"/>
    </xf>
    <xf numFmtId="0" fontId="127" fillId="0" borderId="53" xfId="0" applyFont="1" applyBorder="1">
      <alignment vertical="center"/>
    </xf>
    <xf numFmtId="0" fontId="0" fillId="0" borderId="54" xfId="0" applyBorder="1">
      <alignment vertical="center"/>
    </xf>
    <xf numFmtId="0" fontId="0" fillId="0" borderId="54" xfId="0" applyBorder="1" applyAlignment="1">
      <alignment horizontal="center" vertical="center"/>
    </xf>
    <xf numFmtId="0" fontId="127" fillId="0" borderId="103" xfId="0" applyFont="1" applyBorder="1">
      <alignment vertical="center"/>
    </xf>
    <xf numFmtId="0" fontId="0" fillId="0" borderId="104" xfId="0" applyBorder="1" applyAlignment="1">
      <alignment horizontal="center" vertical="center"/>
    </xf>
    <xf numFmtId="0" fontId="0" fillId="0" borderId="104" xfId="0" applyBorder="1">
      <alignment vertical="center"/>
    </xf>
    <xf numFmtId="192" fontId="0" fillId="0" borderId="104" xfId="0" applyNumberFormat="1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0" fontId="127" fillId="0" borderId="140" xfId="0" applyFont="1" applyBorder="1">
      <alignment vertical="center"/>
    </xf>
    <xf numFmtId="0" fontId="0" fillId="0" borderId="141" xfId="0" applyBorder="1">
      <alignment vertical="center"/>
    </xf>
    <xf numFmtId="0" fontId="0" fillId="0" borderId="142" xfId="0" applyBorder="1">
      <alignment vertical="center"/>
    </xf>
    <xf numFmtId="177" fontId="128" fillId="0" borderId="0" xfId="0" applyNumberFormat="1" applyFont="1" applyAlignment="1">
      <alignment horizontal="center" vertical="center"/>
    </xf>
    <xf numFmtId="177" fontId="126" fillId="0" borderId="0" xfId="0" applyNumberFormat="1" applyFont="1" applyAlignment="1">
      <alignment horizontal="center" vertical="center"/>
    </xf>
    <xf numFmtId="0" fontId="0" fillId="0" borderId="143" xfId="0" applyBorder="1">
      <alignment vertical="center"/>
    </xf>
    <xf numFmtId="0" fontId="0" fillId="0" borderId="144" xfId="0" applyBorder="1" applyAlignment="1">
      <alignment horizontal="center" vertical="center"/>
    </xf>
    <xf numFmtId="0" fontId="0" fillId="0" borderId="144" xfId="0" applyBorder="1">
      <alignment vertical="center"/>
    </xf>
    <xf numFmtId="192" fontId="0" fillId="0" borderId="144" xfId="0" applyNumberFormat="1" applyBorder="1" applyAlignment="1">
      <alignment horizontal="center" vertical="center"/>
    </xf>
    <xf numFmtId="187" fontId="0" fillId="0" borderId="144" xfId="0" applyNumberFormat="1" applyBorder="1" applyAlignment="1">
      <alignment horizontal="center" vertical="center"/>
    </xf>
    <xf numFmtId="0" fontId="119" fillId="0" borderId="144" xfId="0" applyFont="1" applyBorder="1" applyAlignment="1">
      <alignment horizontal="center" vertical="center"/>
    </xf>
    <xf numFmtId="0" fontId="0" fillId="0" borderId="144" xfId="0" quotePrefix="1" applyBorder="1" applyAlignment="1">
      <alignment horizontal="center" vertical="center"/>
    </xf>
    <xf numFmtId="0" fontId="0" fillId="0" borderId="144" xfId="0" applyBorder="1" applyAlignment="1">
      <alignment horizontal="left" vertical="center"/>
    </xf>
    <xf numFmtId="0" fontId="0" fillId="0" borderId="145" xfId="0" applyBorder="1" applyAlignment="1">
      <alignment horizontal="left" vertical="center"/>
    </xf>
    <xf numFmtId="187" fontId="129" fillId="21" borderId="34" xfId="0" applyNumberFormat="1" applyFont="1" applyFill="1" applyBorder="1" applyAlignment="1">
      <alignment vertical="center" shrinkToFit="1"/>
    </xf>
    <xf numFmtId="0" fontId="95" fillId="0" borderId="0" xfId="7" quotePrefix="1" applyFont="1" applyProtection="1">
      <alignment vertical="center"/>
      <protection locked="0"/>
    </xf>
    <xf numFmtId="0" fontId="38" fillId="5" borderId="37" xfId="0" applyFont="1" applyFill="1" applyBorder="1" applyAlignment="1" applyProtection="1">
      <alignment horizontal="left" vertical="center"/>
      <protection locked="0"/>
    </xf>
    <xf numFmtId="0" fontId="52" fillId="5" borderId="14" xfId="2" applyFont="1" applyFill="1" applyBorder="1" applyAlignment="1" applyProtection="1">
      <alignment horizontal="left" vertical="center" shrinkToFit="1"/>
      <protection locked="0"/>
    </xf>
    <xf numFmtId="0" fontId="15" fillId="8" borderId="34" xfId="4" applyFont="1" applyFill="1" applyBorder="1" applyAlignment="1" applyProtection="1">
      <alignment horizontal="center" vertical="center"/>
      <protection locked="0"/>
    </xf>
    <xf numFmtId="0" fontId="15" fillId="8" borderId="23" xfId="4" applyFont="1" applyFill="1" applyBorder="1" applyAlignment="1" applyProtection="1">
      <alignment horizontal="center" vertical="center"/>
      <protection locked="0"/>
    </xf>
    <xf numFmtId="0" fontId="15" fillId="8" borderId="110" xfId="4" applyFont="1" applyFill="1" applyBorder="1" applyAlignment="1" applyProtection="1">
      <alignment horizontal="center" vertical="center"/>
      <protection locked="0"/>
    </xf>
    <xf numFmtId="0" fontId="30" fillId="0" borderId="0" xfId="4" applyProtection="1">
      <alignment vertical="center"/>
      <protection locked="0"/>
    </xf>
    <xf numFmtId="0" fontId="54" fillId="0" borderId="0" xfId="4" applyFont="1" applyProtection="1">
      <alignment vertical="center"/>
      <protection locked="0"/>
    </xf>
    <xf numFmtId="0" fontId="55" fillId="0" borderId="0" xfId="4" applyFont="1" applyProtection="1">
      <alignment vertical="center"/>
      <protection locked="0"/>
    </xf>
    <xf numFmtId="0" fontId="38" fillId="5" borderId="40" xfId="0" applyFont="1" applyFill="1" applyBorder="1" applyAlignment="1" applyProtection="1">
      <alignment horizontal="left" vertical="center"/>
      <protection locked="0"/>
    </xf>
    <xf numFmtId="0" fontId="15" fillId="8" borderId="22" xfId="4" applyFont="1" applyFill="1" applyBorder="1" applyAlignment="1" applyProtection="1">
      <alignment horizontal="center" vertical="center"/>
      <protection locked="0"/>
    </xf>
    <xf numFmtId="0" fontId="15" fillId="5" borderId="42" xfId="4" applyFont="1" applyFill="1" applyBorder="1" applyAlignment="1" applyProtection="1">
      <alignment horizontal="left" vertical="center"/>
      <protection locked="0"/>
    </xf>
    <xf numFmtId="0" fontId="15" fillId="8" borderId="111" xfId="4" applyFont="1" applyFill="1" applyBorder="1" applyAlignment="1" applyProtection="1">
      <alignment horizontal="center" vertical="center"/>
      <protection locked="0"/>
    </xf>
    <xf numFmtId="0" fontId="15" fillId="8" borderId="19" xfId="4" applyFont="1" applyFill="1" applyBorder="1" applyAlignment="1" applyProtection="1">
      <alignment horizontal="center" vertical="center"/>
      <protection locked="0"/>
    </xf>
    <xf numFmtId="0" fontId="15" fillId="8" borderId="82" xfId="4" applyFont="1" applyFill="1" applyBorder="1" applyAlignment="1" applyProtection="1">
      <alignment horizontal="center" vertical="center"/>
      <protection locked="0"/>
    </xf>
    <xf numFmtId="0" fontId="15" fillId="8" borderId="112" xfId="4" applyFont="1" applyFill="1" applyBorder="1" applyAlignment="1" applyProtection="1">
      <alignment horizontal="center" vertical="center"/>
      <protection locked="0"/>
    </xf>
    <xf numFmtId="0" fontId="15" fillId="0" borderId="35" xfId="4" applyFont="1" applyBorder="1" applyAlignment="1">
      <alignment horizontal="center" vertical="center"/>
    </xf>
    <xf numFmtId="0" fontId="15" fillId="0" borderId="41" xfId="4" applyFont="1" applyBorder="1" applyAlignment="1">
      <alignment horizontal="center" vertical="center"/>
    </xf>
    <xf numFmtId="49" fontId="0" fillId="0" borderId="34" xfId="0" applyNumberFormat="1" applyBorder="1">
      <alignment vertical="center"/>
    </xf>
    <xf numFmtId="0" fontId="52" fillId="5" borderId="146" xfId="2" applyFont="1" applyFill="1" applyBorder="1" applyAlignment="1" applyProtection="1">
      <alignment horizontal="left" vertical="center" shrinkToFit="1"/>
      <protection locked="0"/>
    </xf>
    <xf numFmtId="0" fontId="98" fillId="0" borderId="0" xfId="0" applyFont="1" applyAlignment="1">
      <alignment horizontal="center" vertical="center"/>
    </xf>
    <xf numFmtId="0" fontId="113" fillId="28" borderId="128" xfId="4" applyFont="1" applyFill="1" applyBorder="1" applyAlignment="1" applyProtection="1">
      <alignment horizontal="center" vertical="center" wrapText="1"/>
      <protection hidden="1"/>
    </xf>
    <xf numFmtId="0" fontId="132" fillId="0" borderId="0" xfId="4" applyFont="1">
      <alignment vertical="center"/>
    </xf>
    <xf numFmtId="0" fontId="133" fillId="0" borderId="0" xfId="4" applyFont="1" applyAlignment="1" applyProtection="1">
      <alignment horizontal="center" vertical="center"/>
      <protection hidden="1"/>
    </xf>
    <xf numFmtId="0" fontId="134" fillId="0" borderId="0" xfId="4" applyFont="1" applyProtection="1">
      <alignment vertical="center"/>
      <protection hidden="1"/>
    </xf>
    <xf numFmtId="0" fontId="135" fillId="0" borderId="0" xfId="4" applyFont="1" applyProtection="1">
      <alignment vertical="center"/>
      <protection hidden="1"/>
    </xf>
    <xf numFmtId="0" fontId="136" fillId="0" borderId="0" xfId="4" applyFont="1" applyAlignment="1" applyProtection="1">
      <alignment vertical="center" wrapText="1"/>
      <protection hidden="1"/>
    </xf>
    <xf numFmtId="0" fontId="137" fillId="0" borderId="0" xfId="4" applyFont="1" applyAlignment="1" applyProtection="1">
      <alignment vertical="center" wrapText="1"/>
      <protection locked="0"/>
    </xf>
    <xf numFmtId="0" fontId="131" fillId="0" borderId="0" xfId="0" applyFont="1">
      <alignment vertical="center"/>
    </xf>
    <xf numFmtId="0" fontId="36" fillId="0" borderId="34" xfId="4" applyFont="1" applyBorder="1" applyAlignment="1">
      <alignment horizontal="center" vertical="center"/>
    </xf>
    <xf numFmtId="0" fontId="33" fillId="0" borderId="149" xfId="4" applyFont="1" applyBorder="1" applyAlignment="1">
      <alignment horizontal="center" vertical="center"/>
    </xf>
    <xf numFmtId="0" fontId="57" fillId="0" borderId="148" xfId="4" applyFont="1" applyBorder="1" applyAlignment="1">
      <alignment horizontal="center" vertical="center" wrapText="1"/>
    </xf>
    <xf numFmtId="0" fontId="24" fillId="2" borderId="102" xfId="2" applyFont="1" applyFill="1" applyBorder="1" applyAlignment="1" applyProtection="1">
      <alignment horizontal="center"/>
      <protection hidden="1"/>
    </xf>
    <xf numFmtId="0" fontId="0" fillId="22" borderId="0" xfId="0" applyFill="1" applyAlignment="1">
      <alignment vertical="center" textRotation="255"/>
    </xf>
    <xf numFmtId="178" fontId="139" fillId="22" borderId="34" xfId="6" applyNumberFormat="1" applyFont="1" applyFill="1" applyBorder="1" applyAlignment="1">
      <alignment horizontal="center" vertical="center" shrinkToFit="1"/>
    </xf>
    <xf numFmtId="0" fontId="140" fillId="22" borderId="34" xfId="6" applyFont="1" applyFill="1" applyBorder="1" applyAlignment="1">
      <alignment horizontal="center" vertical="center" textRotation="255" wrapText="1"/>
    </xf>
    <xf numFmtId="0" fontId="68" fillId="0" borderId="34" xfId="0" applyFont="1" applyBorder="1" applyAlignment="1">
      <alignment vertical="center" shrinkToFit="1"/>
    </xf>
    <xf numFmtId="0" fontId="0" fillId="21" borderId="26" xfId="0" applyFill="1" applyBorder="1" applyAlignment="1">
      <alignment vertical="center" wrapText="1"/>
    </xf>
    <xf numFmtId="0" fontId="41" fillId="37" borderId="0" xfId="0" applyFont="1" applyFill="1" applyAlignment="1">
      <alignment horizontal="left" vertical="center"/>
    </xf>
    <xf numFmtId="0" fontId="126" fillId="0" borderId="0" xfId="4" applyFont="1" applyAlignment="1">
      <alignment horizontal="center" vertical="center"/>
    </xf>
    <xf numFmtId="0" fontId="126" fillId="21" borderId="0" xfId="4" applyFont="1" applyFill="1" applyAlignment="1">
      <alignment horizontal="center" vertical="center"/>
    </xf>
    <xf numFmtId="187" fontId="126" fillId="0" borderId="0" xfId="4" applyNumberFormat="1" applyFont="1" applyAlignment="1">
      <alignment horizontal="center" vertical="center"/>
    </xf>
    <xf numFmtId="0" fontId="126" fillId="9" borderId="0" xfId="4" applyFont="1" applyFill="1" applyAlignment="1">
      <alignment horizontal="center" vertical="center"/>
    </xf>
    <xf numFmtId="0" fontId="126" fillId="29" borderId="0" xfId="4" applyFont="1" applyFill="1" applyAlignment="1">
      <alignment horizontal="center" vertical="center"/>
    </xf>
    <xf numFmtId="0" fontId="126" fillId="32" borderId="0" xfId="4" applyFont="1" applyFill="1" applyAlignment="1">
      <alignment horizontal="center" vertical="center"/>
    </xf>
    <xf numFmtId="0" fontId="126" fillId="0" borderId="0" xfId="4" applyFont="1">
      <alignment vertical="center"/>
    </xf>
    <xf numFmtId="190" fontId="126" fillId="0" borderId="34" xfId="4" applyNumberFormat="1" applyFont="1" applyBorder="1" applyAlignment="1">
      <alignment horizontal="center" vertical="center"/>
    </xf>
    <xf numFmtId="0" fontId="126" fillId="0" borderId="34" xfId="4" applyFont="1" applyBorder="1" applyAlignment="1">
      <alignment horizontal="center" vertical="center"/>
    </xf>
    <xf numFmtId="190" fontId="128" fillId="0" borderId="0" xfId="4" applyNumberFormat="1" applyFont="1" applyAlignment="1" applyProtection="1">
      <alignment horizontal="center" vertical="center"/>
      <protection locked="0"/>
    </xf>
    <xf numFmtId="0" fontId="128" fillId="0" borderId="0" xfId="4" applyFont="1" applyAlignment="1" applyProtection="1">
      <alignment horizontal="center" vertical="center"/>
      <protection locked="0"/>
    </xf>
    <xf numFmtId="187" fontId="128" fillId="0" borderId="0" xfId="2" applyNumberFormat="1" applyFont="1" applyAlignment="1" applyProtection="1">
      <alignment horizontal="center" vertical="center"/>
      <protection locked="0"/>
    </xf>
    <xf numFmtId="0" fontId="128" fillId="0" borderId="0" xfId="0" applyFont="1" applyAlignment="1" applyProtection="1">
      <alignment horizontal="center" vertical="center"/>
      <protection locked="0"/>
    </xf>
    <xf numFmtId="0" fontId="128" fillId="0" borderId="0" xfId="4" applyFont="1" applyProtection="1">
      <alignment vertical="center"/>
      <protection locked="0"/>
    </xf>
    <xf numFmtId="177" fontId="18" fillId="9" borderId="95" xfId="4" quotePrefix="1" applyNumberFormat="1" applyFont="1" applyFill="1" applyBorder="1" applyAlignment="1" applyProtection="1">
      <alignment horizontal="center" vertical="center" wrapText="1"/>
      <protection hidden="1"/>
    </xf>
    <xf numFmtId="177" fontId="18" fillId="9" borderId="150" xfId="4" quotePrefix="1" applyNumberFormat="1" applyFont="1" applyFill="1" applyBorder="1" applyAlignment="1" applyProtection="1">
      <alignment horizontal="center" vertical="center" wrapText="1"/>
      <protection hidden="1"/>
    </xf>
    <xf numFmtId="177" fontId="110" fillId="0" borderId="34" xfId="0" applyNumberFormat="1" applyFont="1" applyBorder="1">
      <alignment vertical="center"/>
    </xf>
    <xf numFmtId="0" fontId="100" fillId="0" borderId="34" xfId="0" applyFont="1" applyBorder="1">
      <alignment vertical="center"/>
    </xf>
    <xf numFmtId="0" fontId="123" fillId="0" borderId="0" xfId="2" applyFont="1" applyAlignment="1" applyProtection="1">
      <alignment vertical="center"/>
      <protection hidden="1"/>
    </xf>
    <xf numFmtId="0" fontId="126" fillId="0" borderId="0" xfId="5" applyFont="1" applyProtection="1">
      <alignment vertical="center"/>
      <protection locked="0"/>
    </xf>
    <xf numFmtId="1" fontId="16" fillId="21" borderId="34" xfId="2" applyNumberFormat="1" applyFont="1" applyFill="1" applyBorder="1" applyAlignment="1" applyProtection="1">
      <alignment horizontal="center" vertical="center" shrinkToFit="1"/>
      <protection hidden="1"/>
    </xf>
    <xf numFmtId="0" fontId="99" fillId="8" borderId="34" xfId="0" quotePrefix="1" applyFont="1" applyFill="1" applyBorder="1" applyAlignment="1">
      <alignment horizontal="center"/>
    </xf>
    <xf numFmtId="194" fontId="0" fillId="0" borderId="144" xfId="0" applyNumberFormat="1" applyBorder="1" applyAlignment="1">
      <alignment vertical="center" shrinkToFit="1"/>
    </xf>
    <xf numFmtId="194" fontId="0" fillId="0" borderId="0" xfId="0" applyNumberFormat="1" applyAlignment="1">
      <alignment vertical="center" shrinkToFit="1"/>
    </xf>
    <xf numFmtId="194" fontId="0" fillId="0" borderId="139" xfId="0" applyNumberFormat="1" applyBorder="1" applyAlignment="1">
      <alignment vertical="center" shrinkToFit="1"/>
    </xf>
    <xf numFmtId="0" fontId="0" fillId="0" borderId="4" xfId="0" applyBorder="1">
      <alignment vertical="center"/>
    </xf>
    <xf numFmtId="196" fontId="130" fillId="5" borderId="34" xfId="2" applyNumberFormat="1" applyFont="1" applyFill="1" applyBorder="1" applyAlignment="1">
      <alignment horizontal="center" vertical="center" shrinkToFit="1"/>
    </xf>
    <xf numFmtId="196" fontId="130" fillId="5" borderId="111" xfId="2" applyNumberFormat="1" applyFont="1" applyFill="1" applyBorder="1" applyAlignment="1">
      <alignment horizontal="center" vertical="center" shrinkToFit="1"/>
    </xf>
    <xf numFmtId="0" fontId="67" fillId="18" borderId="111" xfId="0" quotePrefix="1" applyFont="1" applyFill="1" applyBorder="1" applyAlignment="1">
      <alignment horizontal="center" vertical="center"/>
    </xf>
    <xf numFmtId="0" fontId="0" fillId="21" borderId="0" xfId="0" applyFill="1">
      <alignment vertical="center"/>
    </xf>
    <xf numFmtId="0" fontId="16" fillId="5" borderId="121" xfId="2" applyFont="1" applyFill="1" applyBorder="1" applyAlignment="1" applyProtection="1">
      <alignment horizontal="center" vertical="center" wrapText="1"/>
      <protection hidden="1"/>
    </xf>
    <xf numFmtId="0" fontId="64" fillId="22" borderId="0" xfId="5" applyFont="1" applyFill="1" applyAlignment="1">
      <alignment horizontal="center" vertical="center"/>
    </xf>
    <xf numFmtId="192" fontId="141" fillId="0" borderId="34" xfId="0" applyNumberFormat="1" applyFont="1" applyBorder="1" applyAlignment="1">
      <alignment horizontal="center" vertical="center" shrinkToFit="1"/>
    </xf>
    <xf numFmtId="41" fontId="40" fillId="16" borderId="34" xfId="4" applyNumberFormat="1" applyFont="1" applyFill="1" applyBorder="1" applyAlignment="1">
      <alignment horizontal="right" vertical="center" shrinkToFit="1"/>
    </xf>
    <xf numFmtId="41" fontId="40" fillId="7" borderId="34" xfId="4" applyNumberFormat="1" applyFont="1" applyFill="1" applyBorder="1" applyAlignment="1">
      <alignment vertical="center" shrinkToFit="1"/>
    </xf>
    <xf numFmtId="14" fontId="44" fillId="8" borderId="34" xfId="0" applyNumberFormat="1" applyFont="1" applyFill="1" applyBorder="1" applyAlignment="1">
      <alignment horizontal="center" vertical="center"/>
    </xf>
    <xf numFmtId="14" fontId="44" fillId="8" borderId="152" xfId="0" applyNumberFormat="1" applyFont="1" applyFill="1" applyBorder="1" applyAlignment="1">
      <alignment horizontal="center" vertical="center"/>
    </xf>
    <xf numFmtId="14" fontId="44" fillId="8" borderId="63" xfId="0" applyNumberFormat="1" applyFont="1" applyFill="1" applyBorder="1" applyAlignment="1">
      <alignment horizontal="center" vertical="center"/>
    </xf>
    <xf numFmtId="14" fontId="44" fillId="8" borderId="154" xfId="0" applyNumberFormat="1" applyFont="1" applyFill="1" applyBorder="1" applyAlignment="1">
      <alignment horizontal="center" vertical="center"/>
    </xf>
    <xf numFmtId="49" fontId="0" fillId="0" borderId="134" xfId="0" applyNumberFormat="1" applyBorder="1" applyAlignment="1">
      <alignment horizontal="left" vertical="center"/>
    </xf>
    <xf numFmtId="49" fontId="0" fillId="0" borderId="136" xfId="0" applyNumberFormat="1" applyBorder="1" applyAlignment="1">
      <alignment horizontal="left" vertical="center"/>
    </xf>
    <xf numFmtId="49" fontId="0" fillId="0" borderId="137" xfId="0" applyNumberFormat="1" applyBorder="1" applyAlignment="1">
      <alignment horizontal="left" vertical="center"/>
    </xf>
    <xf numFmtId="0" fontId="118" fillId="0" borderId="138" xfId="0" applyFont="1" applyBorder="1" applyAlignment="1">
      <alignment horizontal="left" vertical="center" wrapText="1" readingOrder="1"/>
    </xf>
    <xf numFmtId="0" fontId="143" fillId="0" borderId="0" xfId="2" applyFont="1" applyAlignment="1" applyProtection="1">
      <alignment horizontal="center" vertical="center"/>
      <protection hidden="1"/>
    </xf>
    <xf numFmtId="14" fontId="44" fillId="8" borderId="153" xfId="0" applyNumberFormat="1" applyFont="1" applyFill="1" applyBorder="1" applyAlignment="1">
      <alignment horizontal="center" vertical="center"/>
    </xf>
    <xf numFmtId="0" fontId="44" fillId="0" borderId="34" xfId="0" applyFont="1" applyBorder="1" applyAlignment="1">
      <alignment horizontal="center" vertical="center"/>
    </xf>
    <xf numFmtId="184" fontId="44" fillId="21" borderId="34" xfId="0" applyNumberFormat="1" applyFont="1" applyFill="1" applyBorder="1" applyAlignment="1">
      <alignment horizontal="center" vertical="center"/>
    </xf>
    <xf numFmtId="181" fontId="0" fillId="8" borderId="34" xfId="0" applyNumberFormat="1" applyFill="1" applyBorder="1" applyAlignment="1">
      <alignment horizontal="center" vertical="center"/>
    </xf>
    <xf numFmtId="14" fontId="44" fillId="0" borderId="34" xfId="0" applyNumberFormat="1" applyFont="1" applyBorder="1" applyAlignment="1">
      <alignment horizontal="center" vertical="center"/>
    </xf>
    <xf numFmtId="0" fontId="44" fillId="20" borderId="34" xfId="0" applyFont="1" applyFill="1" applyBorder="1" applyAlignment="1">
      <alignment horizontal="center" vertical="center"/>
    </xf>
    <xf numFmtId="0" fontId="24" fillId="2" borderId="0" xfId="2" applyFont="1" applyFill="1" applyAlignment="1" applyProtection="1">
      <alignment horizontal="left" vertical="center" wrapText="1"/>
      <protection hidden="1"/>
    </xf>
    <xf numFmtId="0" fontId="45" fillId="3" borderId="0" xfId="2" applyFont="1" applyFill="1" applyAlignment="1" applyProtection="1">
      <alignment horizontal="center" vertical="center" wrapText="1"/>
      <protection hidden="1"/>
    </xf>
    <xf numFmtId="0" fontId="122" fillId="0" borderId="0" xfId="2" applyFont="1" applyAlignment="1" applyProtection="1">
      <alignment horizontal="center" vertical="center"/>
      <protection hidden="1"/>
    </xf>
    <xf numFmtId="0" fontId="92" fillId="0" borderId="0" xfId="2" applyFont="1" applyAlignment="1" applyProtection="1">
      <alignment horizontal="left" vertical="center" shrinkToFit="1"/>
      <protection hidden="1"/>
    </xf>
    <xf numFmtId="0" fontId="17" fillId="4" borderId="1" xfId="2" applyFont="1" applyFill="1" applyBorder="1" applyAlignment="1" applyProtection="1">
      <alignment horizontal="center" vertical="center"/>
      <protection hidden="1"/>
    </xf>
    <xf numFmtId="0" fontId="17" fillId="4" borderId="2" xfId="2" applyFont="1" applyFill="1" applyBorder="1" applyAlignment="1" applyProtection="1">
      <alignment horizontal="center" vertical="center"/>
      <protection hidden="1"/>
    </xf>
    <xf numFmtId="0" fontId="17" fillId="4" borderId="3" xfId="2" applyFont="1" applyFill="1" applyBorder="1" applyAlignment="1" applyProtection="1">
      <alignment horizontal="center" vertical="center"/>
      <protection hidden="1"/>
    </xf>
    <xf numFmtId="0" fontId="20" fillId="5" borderId="19" xfId="2" applyFont="1" applyFill="1" applyBorder="1" applyAlignment="1" applyProtection="1">
      <alignment horizontal="center" vertical="center"/>
      <protection hidden="1"/>
    </xf>
    <xf numFmtId="0" fontId="20" fillId="5" borderId="38" xfId="2" applyFont="1" applyFill="1" applyBorder="1" applyAlignment="1" applyProtection="1">
      <alignment horizontal="center" vertical="center"/>
      <protection hidden="1"/>
    </xf>
    <xf numFmtId="0" fontId="53" fillId="14" borderId="151" xfId="2" applyFont="1" applyFill="1" applyBorder="1" applyAlignment="1" applyProtection="1">
      <alignment horizontal="center" vertical="center"/>
      <protection locked="0"/>
    </xf>
    <xf numFmtId="0" fontId="142" fillId="0" borderId="0" xfId="2" applyFont="1" applyAlignment="1" applyProtection="1">
      <alignment horizontal="left" vertical="center"/>
      <protection hidden="1"/>
    </xf>
    <xf numFmtId="0" fontId="142" fillId="0" borderId="120" xfId="2" applyFont="1" applyBorder="1" applyAlignment="1" applyProtection="1">
      <alignment horizontal="left" vertical="center"/>
      <protection hidden="1"/>
    </xf>
    <xf numFmtId="0" fontId="24" fillId="2" borderId="102" xfId="2" applyFont="1" applyFill="1" applyBorder="1" applyAlignment="1" applyProtection="1">
      <alignment horizontal="center"/>
      <protection hidden="1"/>
    </xf>
    <xf numFmtId="0" fontId="51" fillId="5" borderId="36" xfId="3" applyFont="1" applyFill="1" applyBorder="1" applyAlignment="1" applyProtection="1">
      <alignment horizontal="left" vertical="center" wrapText="1"/>
      <protection locked="0"/>
    </xf>
    <xf numFmtId="0" fontId="51" fillId="5" borderId="57" xfId="3" applyFont="1" applyFill="1" applyBorder="1" applyAlignment="1" applyProtection="1">
      <alignment horizontal="left" vertical="center" wrapText="1"/>
      <protection locked="0"/>
    </xf>
    <xf numFmtId="0" fontId="15" fillId="7" borderId="34" xfId="2" applyFont="1" applyFill="1" applyBorder="1" applyAlignment="1" applyProtection="1">
      <alignment horizontal="center" vertical="center" wrapText="1" shrinkToFit="1"/>
      <protection hidden="1"/>
    </xf>
    <xf numFmtId="0" fontId="15" fillId="7" borderId="33" xfId="2" applyFont="1" applyFill="1" applyBorder="1" applyAlignment="1" applyProtection="1">
      <alignment horizontal="center" vertical="center" shrinkToFit="1"/>
      <protection hidden="1"/>
    </xf>
    <xf numFmtId="0" fontId="16" fillId="6" borderId="64" xfId="2" applyFont="1" applyFill="1" applyBorder="1" applyAlignment="1" applyProtection="1">
      <alignment horizontal="left" vertical="center" wrapText="1"/>
      <protection locked="0"/>
    </xf>
    <xf numFmtId="0" fontId="16" fillId="6" borderId="44" xfId="2" applyFont="1" applyFill="1" applyBorder="1" applyAlignment="1" applyProtection="1">
      <alignment horizontal="left" vertical="center" wrapText="1"/>
      <protection locked="0"/>
    </xf>
    <xf numFmtId="0" fontId="16" fillId="6" borderId="14" xfId="2" applyFont="1" applyFill="1" applyBorder="1" applyAlignment="1" applyProtection="1">
      <alignment horizontal="left" vertical="center" wrapText="1"/>
      <protection locked="0"/>
    </xf>
    <xf numFmtId="0" fontId="16" fillId="6" borderId="15" xfId="2" applyFont="1" applyFill="1" applyBorder="1" applyAlignment="1" applyProtection="1">
      <alignment horizontal="left" vertical="center" wrapText="1"/>
      <protection locked="0"/>
    </xf>
    <xf numFmtId="0" fontId="16" fillId="6" borderId="16" xfId="2" applyFont="1" applyFill="1" applyBorder="1" applyAlignment="1" applyProtection="1">
      <alignment horizontal="left" vertical="center" wrapText="1"/>
      <protection locked="0"/>
    </xf>
    <xf numFmtId="0" fontId="16" fillId="6" borderId="17" xfId="2" applyFont="1" applyFill="1" applyBorder="1" applyAlignment="1" applyProtection="1">
      <alignment horizontal="left" vertical="center" wrapText="1"/>
      <protection locked="0"/>
    </xf>
    <xf numFmtId="0" fontId="15" fillId="4" borderId="48" xfId="2" applyFont="1" applyFill="1" applyBorder="1" applyAlignment="1" applyProtection="1">
      <alignment horizontal="center" vertical="center" wrapText="1"/>
      <protection locked="0" hidden="1"/>
    </xf>
    <xf numFmtId="0" fontId="15" fillId="4" borderId="49" xfId="2" applyFont="1" applyFill="1" applyBorder="1" applyAlignment="1" applyProtection="1">
      <alignment horizontal="center" vertical="center" wrapText="1"/>
      <protection locked="0" hidden="1"/>
    </xf>
    <xf numFmtId="177" fontId="12" fillId="8" borderId="34" xfId="2" applyNumberFormat="1" applyFont="1" applyFill="1" applyBorder="1" applyAlignment="1" applyProtection="1">
      <alignment horizontal="left" vertical="center" wrapText="1"/>
      <protection locked="0" hidden="1"/>
    </xf>
    <xf numFmtId="177" fontId="12" fillId="8" borderId="110" xfId="2" applyNumberFormat="1" applyFont="1" applyFill="1" applyBorder="1" applyAlignment="1" applyProtection="1">
      <alignment horizontal="left" vertical="center" wrapText="1"/>
      <protection locked="0" hidden="1"/>
    </xf>
    <xf numFmtId="177" fontId="12" fillId="8" borderId="111" xfId="2" applyNumberFormat="1" applyFont="1" applyFill="1" applyBorder="1" applyAlignment="1" applyProtection="1">
      <alignment horizontal="left" vertical="center" wrapText="1"/>
      <protection locked="0" hidden="1"/>
    </xf>
    <xf numFmtId="177" fontId="12" fillId="8" borderId="112" xfId="2" applyNumberFormat="1" applyFont="1" applyFill="1" applyBorder="1" applyAlignment="1" applyProtection="1">
      <alignment horizontal="left" vertical="center" wrapText="1"/>
      <protection locked="0" hidden="1"/>
    </xf>
    <xf numFmtId="184" fontId="50" fillId="14" borderId="38" xfId="2" applyNumberFormat="1" applyFont="1" applyFill="1" applyBorder="1" applyAlignment="1" applyProtection="1">
      <alignment horizontal="center" vertical="center" wrapText="1"/>
      <protection locked="0" hidden="1"/>
    </xf>
    <xf numFmtId="184" fontId="50" fillId="14" borderId="61" xfId="2" applyNumberFormat="1" applyFont="1" applyFill="1" applyBorder="1" applyAlignment="1" applyProtection="1">
      <alignment horizontal="center" vertical="center" wrapText="1"/>
      <protection locked="0" hidden="1"/>
    </xf>
    <xf numFmtId="184" fontId="50" fillId="14" borderId="62" xfId="2" applyNumberFormat="1" applyFont="1" applyFill="1" applyBorder="1" applyAlignment="1" applyProtection="1">
      <alignment horizontal="center" vertical="center" wrapText="1"/>
      <protection locked="0" hidden="1"/>
    </xf>
    <xf numFmtId="176" fontId="16" fillId="6" borderId="38" xfId="2" applyNumberFormat="1" applyFont="1" applyFill="1" applyBorder="1" applyAlignment="1" applyProtection="1">
      <alignment horizontal="center" vertical="center" wrapText="1"/>
      <protection locked="0"/>
    </xf>
    <xf numFmtId="176" fontId="16" fillId="6" borderId="74" xfId="2" applyNumberFormat="1" applyFont="1" applyFill="1" applyBorder="1" applyAlignment="1" applyProtection="1">
      <alignment horizontal="center" vertical="center" wrapText="1"/>
      <protection locked="0"/>
    </xf>
    <xf numFmtId="0" fontId="16" fillId="6" borderId="129" xfId="2" applyFont="1" applyFill="1" applyBorder="1" applyAlignment="1" applyProtection="1">
      <alignment horizontal="left" vertical="center" wrapText="1"/>
      <protection locked="0"/>
    </xf>
    <xf numFmtId="0" fontId="16" fillId="6" borderId="130" xfId="2" applyFont="1" applyFill="1" applyBorder="1" applyAlignment="1" applyProtection="1">
      <alignment horizontal="left" vertical="center" wrapText="1"/>
      <protection locked="0"/>
    </xf>
    <xf numFmtId="0" fontId="52" fillId="5" borderId="13" xfId="2" applyFont="1" applyFill="1" applyBorder="1" applyAlignment="1" applyProtection="1">
      <alignment horizontal="center" vertical="center" wrapText="1"/>
      <protection locked="0"/>
    </xf>
    <xf numFmtId="0" fontId="52" fillId="5" borderId="14" xfId="2" applyFont="1" applyFill="1" applyBorder="1" applyAlignment="1" applyProtection="1">
      <alignment horizontal="center" vertical="center" wrapText="1"/>
      <protection locked="0"/>
    </xf>
    <xf numFmtId="0" fontId="24" fillId="2" borderId="139" xfId="2" applyFont="1" applyFill="1" applyBorder="1" applyAlignment="1" applyProtection="1">
      <alignment horizontal="left" vertical="center" wrapText="1"/>
      <protection hidden="1"/>
    </xf>
    <xf numFmtId="0" fontId="15" fillId="4" borderId="11" xfId="2" applyFont="1" applyFill="1" applyBorder="1" applyAlignment="1" applyProtection="1">
      <alignment horizontal="center" vertical="center" wrapText="1"/>
      <protection hidden="1"/>
    </xf>
    <xf numFmtId="0" fontId="15" fillId="8" borderId="57" xfId="2" applyFont="1" applyFill="1" applyBorder="1" applyAlignment="1" applyProtection="1">
      <alignment horizontal="center" vertical="center" wrapText="1"/>
      <protection locked="0" hidden="1"/>
    </xf>
    <xf numFmtId="0" fontId="15" fillId="8" borderId="58" xfId="2" applyFont="1" applyFill="1" applyBorder="1" applyAlignment="1" applyProtection="1">
      <alignment horizontal="center" vertical="center" wrapText="1"/>
      <protection locked="0" hidden="1"/>
    </xf>
    <xf numFmtId="0" fontId="15" fillId="7" borderId="34" xfId="2" applyFont="1" applyFill="1" applyBorder="1" applyAlignment="1" applyProtection="1">
      <alignment horizontal="center" vertical="center" shrinkToFit="1"/>
      <protection hidden="1"/>
    </xf>
    <xf numFmtId="0" fontId="16" fillId="6" borderId="13" xfId="2" applyFont="1" applyFill="1" applyBorder="1" applyAlignment="1" applyProtection="1">
      <alignment horizontal="left" vertical="center" wrapText="1"/>
      <protection locked="0"/>
    </xf>
    <xf numFmtId="0" fontId="15" fillId="4" borderId="26" xfId="2" applyFont="1" applyFill="1" applyBorder="1" applyAlignment="1" applyProtection="1">
      <alignment horizontal="center" vertical="center" wrapText="1"/>
      <protection locked="0" hidden="1"/>
    </xf>
    <xf numFmtId="0" fontId="16" fillId="14" borderId="0" xfId="2" applyFont="1" applyFill="1" applyAlignment="1" applyProtection="1">
      <alignment horizontal="center" vertical="center" wrapText="1"/>
      <protection locked="0"/>
    </xf>
    <xf numFmtId="0" fontId="16" fillId="14" borderId="12" xfId="2" applyFont="1" applyFill="1" applyBorder="1" applyAlignment="1" applyProtection="1">
      <alignment horizontal="center" vertical="center" wrapText="1"/>
      <protection locked="0"/>
    </xf>
    <xf numFmtId="0" fontId="16" fillId="14" borderId="45" xfId="2" applyFont="1" applyFill="1" applyBorder="1" applyAlignment="1" applyProtection="1">
      <alignment horizontal="center" vertical="center" wrapText="1"/>
      <protection locked="0"/>
    </xf>
    <xf numFmtId="0" fontId="16" fillId="14" borderId="56" xfId="2" applyFont="1" applyFill="1" applyBorder="1" applyAlignment="1" applyProtection="1">
      <alignment horizontal="center" vertical="center" wrapText="1"/>
      <protection locked="0"/>
    </xf>
    <xf numFmtId="0" fontId="16" fillId="6" borderId="23" xfId="2" applyFont="1" applyFill="1" applyBorder="1" applyAlignment="1" applyProtection="1">
      <alignment horizontal="left" vertical="center" wrapText="1"/>
      <protection locked="0"/>
    </xf>
    <xf numFmtId="0" fontId="16" fillId="6" borderId="24" xfId="2" applyFont="1" applyFill="1" applyBorder="1" applyAlignment="1" applyProtection="1">
      <alignment horizontal="left" vertical="center" wrapText="1"/>
      <protection locked="0"/>
    </xf>
    <xf numFmtId="0" fontId="104" fillId="2" borderId="120" xfId="2" applyFont="1" applyFill="1" applyBorder="1" applyAlignment="1" applyProtection="1">
      <alignment horizontal="center"/>
      <protection hidden="1"/>
    </xf>
    <xf numFmtId="0" fontId="104" fillId="2" borderId="0" xfId="2" applyFont="1" applyFill="1" applyAlignment="1" applyProtection="1">
      <alignment horizontal="center"/>
      <protection hidden="1"/>
    </xf>
    <xf numFmtId="0" fontId="15" fillId="0" borderId="0" xfId="2" applyFont="1" applyAlignment="1" applyProtection="1">
      <alignment horizontal="center" vertical="center" wrapText="1" shrinkToFit="1"/>
      <protection hidden="1"/>
    </xf>
    <xf numFmtId="0" fontId="15" fillId="0" borderId="0" xfId="2" applyFont="1" applyAlignment="1" applyProtection="1">
      <alignment horizontal="center" vertical="center" shrinkToFit="1"/>
      <protection hidden="1"/>
    </xf>
    <xf numFmtId="14" fontId="15" fillId="13" borderId="34" xfId="2" applyNumberFormat="1" applyFont="1" applyFill="1" applyBorder="1" applyAlignment="1" applyProtection="1">
      <alignment horizontal="left" vertical="center" wrapText="1"/>
      <protection hidden="1"/>
    </xf>
    <xf numFmtId="177" fontId="12" fillId="8" borderId="108" xfId="2" applyNumberFormat="1" applyFont="1" applyFill="1" applyBorder="1" applyAlignment="1" applyProtection="1">
      <alignment horizontal="left" vertical="center" wrapText="1"/>
      <protection locked="0" hidden="1"/>
    </xf>
    <xf numFmtId="177" fontId="12" fillId="8" borderId="109" xfId="2" applyNumberFormat="1" applyFont="1" applyFill="1" applyBorder="1" applyAlignment="1" applyProtection="1">
      <alignment horizontal="left" vertical="center" wrapText="1"/>
      <protection locked="0" hidden="1"/>
    </xf>
    <xf numFmtId="14" fontId="15" fillId="0" borderId="27" xfId="2" applyNumberFormat="1" applyFont="1" applyBorder="1" applyAlignment="1" applyProtection="1">
      <alignment horizontal="center" vertical="center" wrapText="1"/>
      <protection hidden="1"/>
    </xf>
    <xf numFmtId="0" fontId="15" fillId="4" borderId="25" xfId="2" applyFont="1" applyFill="1" applyBorder="1" applyAlignment="1" applyProtection="1">
      <alignment horizontal="center" vertical="center" shrinkToFit="1"/>
      <protection hidden="1"/>
    </xf>
    <xf numFmtId="0" fontId="15" fillId="4" borderId="26" xfId="2" applyFont="1" applyFill="1" applyBorder="1" applyAlignment="1" applyProtection="1">
      <alignment horizontal="center" vertical="center" shrinkToFit="1"/>
      <protection hidden="1"/>
    </xf>
    <xf numFmtId="179" fontId="21" fillId="9" borderId="76" xfId="1" applyNumberFormat="1" applyFont="1" applyFill="1" applyBorder="1" applyAlignment="1" applyProtection="1">
      <alignment horizontal="right" vertical="center" wrapText="1"/>
      <protection hidden="1"/>
    </xf>
    <xf numFmtId="179" fontId="21" fillId="9" borderId="77" xfId="1" applyNumberFormat="1" applyFont="1" applyFill="1" applyBorder="1" applyAlignment="1" applyProtection="1">
      <alignment horizontal="right" vertical="center" wrapText="1"/>
      <protection hidden="1"/>
    </xf>
    <xf numFmtId="0" fontId="16" fillId="6" borderId="46" xfId="2" applyFont="1" applyFill="1" applyBorder="1" applyAlignment="1" applyProtection="1">
      <alignment horizontal="left" vertical="center" wrapText="1"/>
      <protection locked="0" hidden="1"/>
    </xf>
    <xf numFmtId="0" fontId="16" fillId="6" borderId="47" xfId="2" applyFont="1" applyFill="1" applyBorder="1" applyAlignment="1" applyProtection="1">
      <alignment horizontal="left" vertical="center" wrapText="1"/>
      <protection locked="0" hidden="1"/>
    </xf>
    <xf numFmtId="179" fontId="21" fillId="9" borderId="68" xfId="1" applyNumberFormat="1" applyFont="1" applyFill="1" applyBorder="1" applyAlignment="1" applyProtection="1">
      <alignment horizontal="right" vertical="center" wrapText="1"/>
    </xf>
    <xf numFmtId="179" fontId="21" fillId="9" borderId="69" xfId="1" applyNumberFormat="1" applyFont="1" applyFill="1" applyBorder="1" applyAlignment="1" applyProtection="1">
      <alignment horizontal="right" vertical="center" wrapText="1"/>
    </xf>
    <xf numFmtId="0" fontId="15" fillId="4" borderId="9" xfId="2" applyFont="1" applyFill="1" applyBorder="1" applyAlignment="1" applyProtection="1">
      <alignment horizontal="center" vertical="center" wrapText="1"/>
      <protection hidden="1"/>
    </xf>
    <xf numFmtId="0" fontId="15" fillId="4" borderId="75" xfId="2" applyFont="1" applyFill="1" applyBorder="1" applyAlignment="1" applyProtection="1">
      <alignment horizontal="center" vertical="center" wrapText="1"/>
      <protection hidden="1"/>
    </xf>
    <xf numFmtId="0" fontId="15" fillId="4" borderId="23" xfId="2" applyFont="1" applyFill="1" applyBorder="1" applyAlignment="1" applyProtection="1">
      <alignment horizontal="center" vertical="center" wrapText="1"/>
      <protection hidden="1"/>
    </xf>
    <xf numFmtId="0" fontId="15" fillId="4" borderId="72" xfId="2" applyFont="1" applyFill="1" applyBorder="1" applyAlignment="1" applyProtection="1">
      <alignment horizontal="center" vertical="center" wrapText="1"/>
      <protection hidden="1"/>
    </xf>
    <xf numFmtId="0" fontId="113" fillId="21" borderId="126" xfId="4" applyFont="1" applyFill="1" applyBorder="1" applyAlignment="1" applyProtection="1">
      <alignment horizontal="center" vertical="center" textRotation="255" wrapText="1"/>
      <protection hidden="1"/>
    </xf>
    <xf numFmtId="0" fontId="113" fillId="21" borderId="127" xfId="4" applyFont="1" applyFill="1" applyBorder="1" applyAlignment="1" applyProtection="1">
      <alignment horizontal="center" vertical="center" textRotation="255" wrapText="1"/>
      <protection hidden="1"/>
    </xf>
    <xf numFmtId="0" fontId="83" fillId="0" borderId="0" xfId="4" applyFont="1" applyAlignment="1">
      <alignment horizontal="left" vertical="center" shrinkToFit="1"/>
    </xf>
    <xf numFmtId="0" fontId="31" fillId="0" borderId="0" xfId="4" applyFont="1" applyAlignment="1" applyProtection="1">
      <alignment horizontal="center" vertical="center"/>
      <protection hidden="1"/>
    </xf>
    <xf numFmtId="0" fontId="16" fillId="0" borderId="2" xfId="4" applyFont="1" applyBorder="1" applyAlignment="1" applyProtection="1">
      <alignment horizontal="left" vertical="top" wrapText="1"/>
      <protection hidden="1"/>
    </xf>
    <xf numFmtId="0" fontId="16" fillId="0" borderId="0" xfId="4" applyFont="1" applyAlignment="1" applyProtection="1">
      <alignment horizontal="left" vertical="top" wrapText="1"/>
      <protection hidden="1"/>
    </xf>
    <xf numFmtId="0" fontId="18" fillId="12" borderId="79" xfId="4" applyFont="1" applyFill="1" applyBorder="1" applyAlignment="1" applyProtection="1">
      <alignment horizontal="center" vertical="center"/>
      <protection hidden="1"/>
    </xf>
    <xf numFmtId="0" fontId="18" fillId="12" borderId="83" xfId="4" applyFont="1" applyFill="1" applyBorder="1" applyAlignment="1" applyProtection="1">
      <alignment horizontal="center" vertical="center"/>
      <protection hidden="1"/>
    </xf>
    <xf numFmtId="0" fontId="18" fillId="12" borderId="80" xfId="4" applyFont="1" applyFill="1" applyBorder="1" applyAlignment="1" applyProtection="1">
      <alignment horizontal="center" vertical="center"/>
      <protection hidden="1"/>
    </xf>
    <xf numFmtId="0" fontId="24" fillId="7" borderId="30" xfId="4" applyFont="1" applyFill="1" applyBorder="1" applyAlignment="1" applyProtection="1">
      <alignment horizontal="center" vertical="center" wrapText="1"/>
      <protection hidden="1"/>
    </xf>
    <xf numFmtId="0" fontId="24" fillId="7" borderId="31" xfId="4" applyFont="1" applyFill="1" applyBorder="1" applyAlignment="1" applyProtection="1">
      <alignment horizontal="center" vertical="center" wrapText="1"/>
      <protection hidden="1"/>
    </xf>
    <xf numFmtId="0" fontId="9" fillId="10" borderId="28" xfId="4" applyFont="1" applyFill="1" applyBorder="1" applyAlignment="1" applyProtection="1">
      <alignment horizontal="center" vertical="center"/>
      <protection hidden="1"/>
    </xf>
    <xf numFmtId="0" fontId="9" fillId="10" borderId="29" xfId="4" applyFont="1" applyFill="1" applyBorder="1" applyAlignment="1" applyProtection="1">
      <alignment horizontal="center" vertical="center"/>
      <protection hidden="1"/>
    </xf>
    <xf numFmtId="0" fontId="15" fillId="0" borderId="20" xfId="2" applyFont="1" applyBorder="1" applyAlignment="1" applyProtection="1">
      <alignment horizontal="left" vertical="center" shrinkToFit="1"/>
      <protection hidden="1"/>
    </xf>
    <xf numFmtId="0" fontId="15" fillId="0" borderId="0" xfId="2" applyFont="1" applyAlignment="1" applyProtection="1">
      <alignment horizontal="left" vertical="center" shrinkToFit="1"/>
      <protection hidden="1"/>
    </xf>
    <xf numFmtId="182" fontId="114" fillId="8" borderId="91" xfId="4" applyNumberFormat="1" applyFont="1" applyFill="1" applyBorder="1" applyAlignment="1" applyProtection="1">
      <alignment horizontal="center" vertical="center"/>
      <protection hidden="1"/>
    </xf>
    <xf numFmtId="182" fontId="114" fillId="8" borderId="92" xfId="4" applyNumberFormat="1" applyFont="1" applyFill="1" applyBorder="1" applyAlignment="1" applyProtection="1">
      <alignment horizontal="center" vertical="center"/>
      <protection hidden="1"/>
    </xf>
    <xf numFmtId="182" fontId="114" fillId="8" borderId="93" xfId="4" applyNumberFormat="1" applyFont="1" applyFill="1" applyBorder="1" applyAlignment="1" applyProtection="1">
      <alignment horizontal="center" vertical="center"/>
      <protection hidden="1"/>
    </xf>
    <xf numFmtId="0" fontId="12" fillId="0" borderId="53" xfId="4" applyFont="1" applyBorder="1" applyAlignment="1" applyProtection="1">
      <alignment horizontal="center" vertical="top"/>
      <protection locked="0"/>
    </xf>
    <xf numFmtId="0" fontId="12" fillId="0" borderId="0" xfId="4" applyFont="1" applyAlignment="1" applyProtection="1">
      <alignment horizontal="center" vertical="top"/>
      <protection locked="0"/>
    </xf>
    <xf numFmtId="0" fontId="12" fillId="0" borderId="54" xfId="4" applyFont="1" applyBorder="1" applyAlignment="1" applyProtection="1">
      <alignment horizontal="center" vertical="top"/>
      <protection locked="0"/>
    </xf>
    <xf numFmtId="0" fontId="12" fillId="0" borderId="103" xfId="4" applyFont="1" applyBorder="1" applyAlignment="1" applyProtection="1">
      <alignment horizontal="center" vertical="top"/>
      <protection locked="0"/>
    </xf>
    <xf numFmtId="0" fontId="12" fillId="0" borderId="104" xfId="4" applyFont="1" applyBorder="1" applyAlignment="1" applyProtection="1">
      <alignment horizontal="center" vertical="top"/>
      <protection locked="0"/>
    </xf>
    <xf numFmtId="0" fontId="12" fillId="0" borderId="105" xfId="4" applyFont="1" applyBorder="1" applyAlignment="1" applyProtection="1">
      <alignment horizontal="center" vertical="top"/>
      <protection locked="0"/>
    </xf>
    <xf numFmtId="0" fontId="15" fillId="0" borderId="50" xfId="4" applyFont="1" applyBorder="1" applyAlignment="1">
      <alignment horizontal="left" vertical="center"/>
    </xf>
    <xf numFmtId="0" fontId="15" fillId="0" borderId="51" xfId="4" applyFont="1" applyBorder="1" applyAlignment="1">
      <alignment horizontal="left" vertical="center"/>
    </xf>
    <xf numFmtId="0" fontId="15" fillId="0" borderId="52" xfId="4" applyFont="1" applyBorder="1" applyAlignment="1">
      <alignment horizontal="left" vertical="center"/>
    </xf>
    <xf numFmtId="14" fontId="57" fillId="0" borderId="51" xfId="4" applyNumberFormat="1" applyFont="1" applyBorder="1" applyAlignment="1">
      <alignment horizontal="center" vertical="center" shrinkToFit="1"/>
    </xf>
    <xf numFmtId="0" fontId="15" fillId="0" borderId="20" xfId="2" applyFont="1" applyBorder="1" applyAlignment="1" applyProtection="1">
      <alignment horizontal="center" vertical="center" shrinkToFit="1"/>
      <protection hidden="1"/>
    </xf>
    <xf numFmtId="0" fontId="115" fillId="0" borderId="147" xfId="4" applyFont="1" applyBorder="1" applyAlignment="1" applyProtection="1">
      <alignment horizontal="center" vertical="center" shrinkToFit="1"/>
      <protection hidden="1"/>
    </xf>
    <xf numFmtId="0" fontId="115" fillId="0" borderId="0" xfId="4" applyFont="1" applyAlignment="1" applyProtection="1">
      <alignment horizontal="center" vertical="center" shrinkToFit="1"/>
      <protection hidden="1"/>
    </xf>
    <xf numFmtId="0" fontId="115" fillId="0" borderId="54" xfId="4" applyFont="1" applyBorder="1" applyAlignment="1" applyProtection="1">
      <alignment horizontal="center" vertical="center" shrinkToFit="1"/>
      <protection hidden="1"/>
    </xf>
    <xf numFmtId="0" fontId="115" fillId="0" borderId="0" xfId="4" applyFont="1" applyAlignment="1">
      <alignment horizontal="left" vertical="center" shrinkToFit="1"/>
    </xf>
    <xf numFmtId="0" fontId="115" fillId="0" borderId="147" xfId="4" applyFont="1" applyBorder="1" applyAlignment="1" applyProtection="1">
      <alignment horizontal="left" vertical="center" shrinkToFit="1"/>
      <protection hidden="1"/>
    </xf>
    <xf numFmtId="0" fontId="115" fillId="0" borderId="0" xfId="4" applyFont="1" applyAlignment="1" applyProtection="1">
      <alignment horizontal="left" vertical="center" shrinkToFit="1"/>
      <protection hidden="1"/>
    </xf>
    <xf numFmtId="0" fontId="115" fillId="0" borderId="54" xfId="4" applyFont="1" applyBorder="1" applyAlignment="1" applyProtection="1">
      <alignment horizontal="left" vertical="center" shrinkToFit="1"/>
      <protection hidden="1"/>
    </xf>
    <xf numFmtId="0" fontId="138" fillId="0" borderId="147" xfId="4" applyFont="1" applyBorder="1" applyAlignment="1" applyProtection="1">
      <alignment horizontal="center" vertical="center" shrinkToFit="1"/>
      <protection hidden="1"/>
    </xf>
    <xf numFmtId="0" fontId="138" fillId="0" borderId="0" xfId="4" applyFont="1" applyAlignment="1" applyProtection="1">
      <alignment horizontal="center" vertical="center" shrinkToFit="1"/>
      <protection hidden="1"/>
    </xf>
    <xf numFmtId="176" fontId="16" fillId="6" borderId="38" xfId="2" applyNumberFormat="1" applyFont="1" applyFill="1" applyBorder="1" applyAlignment="1" applyProtection="1">
      <alignment horizontal="center" vertical="center" shrinkToFit="1"/>
      <protection locked="0" hidden="1"/>
    </xf>
    <xf numFmtId="176" fontId="16" fillId="6" borderId="74" xfId="2" applyNumberFormat="1" applyFont="1" applyFill="1" applyBorder="1" applyAlignment="1" applyProtection="1">
      <alignment horizontal="center" vertical="center" shrinkToFit="1"/>
      <protection locked="0" hidden="1"/>
    </xf>
    <xf numFmtId="14" fontId="50" fillId="6" borderId="38" xfId="2" applyNumberFormat="1" applyFont="1" applyFill="1" applyBorder="1" applyAlignment="1" applyProtection="1">
      <alignment horizontal="center" vertical="center" wrapText="1"/>
      <protection locked="0" hidden="1"/>
    </xf>
    <xf numFmtId="14" fontId="50" fillId="6" borderId="61" xfId="2" applyNumberFormat="1" applyFont="1" applyFill="1" applyBorder="1" applyAlignment="1" applyProtection="1">
      <alignment horizontal="center" vertical="center" wrapText="1"/>
      <protection locked="0" hidden="1"/>
    </xf>
    <xf numFmtId="14" fontId="50" fillId="6" borderId="62" xfId="2" applyNumberFormat="1" applyFont="1" applyFill="1" applyBorder="1" applyAlignment="1" applyProtection="1">
      <alignment horizontal="center" vertical="center" wrapText="1"/>
      <protection locked="0" hidden="1"/>
    </xf>
    <xf numFmtId="0" fontId="12" fillId="4" borderId="11" xfId="2" applyFont="1" applyFill="1" applyBorder="1" applyAlignment="1" applyProtection="1">
      <alignment horizontal="center" vertical="center" wrapText="1"/>
      <protection hidden="1"/>
    </xf>
    <xf numFmtId="0" fontId="16" fillId="14" borderId="0" xfId="2" applyFont="1" applyFill="1" applyAlignment="1" applyProtection="1">
      <alignment horizontal="center" vertical="center" wrapText="1"/>
      <protection locked="0" hidden="1"/>
    </xf>
    <xf numFmtId="0" fontId="16" fillId="14" borderId="12" xfId="2" applyFont="1" applyFill="1" applyBorder="1" applyAlignment="1" applyProtection="1">
      <alignment horizontal="center" vertical="center" wrapText="1"/>
      <protection locked="0" hidden="1"/>
    </xf>
    <xf numFmtId="0" fontId="16" fillId="14" borderId="45" xfId="2" applyFont="1" applyFill="1" applyBorder="1" applyAlignment="1" applyProtection="1">
      <alignment horizontal="center" vertical="center" wrapText="1"/>
      <protection locked="0" hidden="1"/>
    </xf>
    <xf numFmtId="0" fontId="16" fillId="14" borderId="56" xfId="2" applyFont="1" applyFill="1" applyBorder="1" applyAlignment="1" applyProtection="1">
      <alignment horizontal="center" vertical="center" wrapText="1"/>
      <protection locked="0" hidden="1"/>
    </xf>
    <xf numFmtId="0" fontId="16" fillId="6" borderId="13" xfId="2" applyFont="1" applyFill="1" applyBorder="1" applyAlignment="1" applyProtection="1">
      <alignment horizontal="left" vertical="center" wrapText="1"/>
      <protection locked="0" hidden="1"/>
    </xf>
    <xf numFmtId="0" fontId="16" fillId="6" borderId="14" xfId="2" applyFont="1" applyFill="1" applyBorder="1" applyAlignment="1" applyProtection="1">
      <alignment horizontal="left" vertical="center" wrapText="1"/>
      <protection locked="0" hidden="1"/>
    </xf>
    <xf numFmtId="0" fontId="16" fillId="6" borderId="15" xfId="2" applyFont="1" applyFill="1" applyBorder="1" applyAlignment="1" applyProtection="1">
      <alignment horizontal="left" vertical="center" wrapText="1"/>
      <protection locked="0" hidden="1"/>
    </xf>
    <xf numFmtId="0" fontId="16" fillId="6" borderId="65" xfId="2" applyFont="1" applyFill="1" applyBorder="1" applyAlignment="1" applyProtection="1">
      <alignment horizontal="left" vertical="center" wrapText="1"/>
      <protection locked="0" hidden="1"/>
    </xf>
    <xf numFmtId="0" fontId="16" fillId="6" borderId="49" xfId="2" applyFont="1" applyFill="1" applyBorder="1" applyAlignment="1" applyProtection="1">
      <alignment horizontal="left" vertical="center" wrapText="1"/>
      <protection locked="0" hidden="1"/>
    </xf>
    <xf numFmtId="0" fontId="52" fillId="5" borderId="14" xfId="2" applyFont="1" applyFill="1" applyBorder="1" applyAlignment="1" applyProtection="1">
      <alignment horizontal="center" vertical="center" wrapText="1"/>
      <protection locked="0" hidden="1"/>
    </xf>
    <xf numFmtId="0" fontId="52" fillId="5" borderId="17" xfId="2" applyFont="1" applyFill="1" applyBorder="1" applyAlignment="1" applyProtection="1">
      <alignment horizontal="center" vertical="center" wrapText="1"/>
      <protection locked="0" hidden="1"/>
    </xf>
    <xf numFmtId="0" fontId="51" fillId="5" borderId="36" xfId="3" applyFont="1" applyFill="1" applyBorder="1" applyAlignment="1" applyProtection="1">
      <alignment horizontal="left" vertical="center" wrapText="1"/>
      <protection locked="0" hidden="1"/>
    </xf>
    <xf numFmtId="0" fontId="51" fillId="5" borderId="57" xfId="3" applyFont="1" applyFill="1" applyBorder="1" applyAlignment="1" applyProtection="1">
      <alignment horizontal="left" vertical="center" wrapText="1"/>
      <protection locked="0" hidden="1"/>
    </xf>
    <xf numFmtId="0" fontId="16" fillId="6" borderId="113" xfId="2" applyFont="1" applyFill="1" applyBorder="1" applyAlignment="1" applyProtection="1">
      <alignment horizontal="left" vertical="center" wrapText="1"/>
      <protection locked="0" hidden="1"/>
    </xf>
    <xf numFmtId="0" fontId="16" fillId="6" borderId="16" xfId="2" applyFont="1" applyFill="1" applyBorder="1" applyAlignment="1" applyProtection="1">
      <alignment horizontal="left" vertical="center" wrapText="1"/>
      <protection locked="0" hidden="1"/>
    </xf>
    <xf numFmtId="0" fontId="16" fillId="6" borderId="17" xfId="2" applyFont="1" applyFill="1" applyBorder="1" applyAlignment="1" applyProtection="1">
      <alignment horizontal="left" vertical="center" wrapText="1"/>
      <protection locked="0" hidden="1"/>
    </xf>
    <xf numFmtId="0" fontId="16" fillId="6" borderId="64" xfId="2" applyFont="1" applyFill="1" applyBorder="1" applyAlignment="1" applyProtection="1">
      <alignment horizontal="left" vertical="center" wrapText="1"/>
      <protection locked="0" hidden="1"/>
    </xf>
    <xf numFmtId="0" fontId="16" fillId="6" borderId="44" xfId="2" applyFont="1" applyFill="1" applyBorder="1" applyAlignment="1" applyProtection="1">
      <alignment horizontal="left" vertical="center" wrapText="1"/>
      <protection locked="0" hidden="1"/>
    </xf>
    <xf numFmtId="0" fontId="16" fillId="6" borderId="23" xfId="2" applyFont="1" applyFill="1" applyBorder="1" applyAlignment="1" applyProtection="1">
      <alignment horizontal="left" vertical="center" wrapText="1"/>
      <protection locked="0" hidden="1"/>
    </xf>
    <xf numFmtId="0" fontId="16" fillId="6" borderId="24" xfId="2" applyFont="1" applyFill="1" applyBorder="1" applyAlignment="1" applyProtection="1">
      <alignment horizontal="left" vertical="center" wrapText="1"/>
      <protection locked="0" hidden="1"/>
    </xf>
    <xf numFmtId="0" fontId="16" fillId="6" borderId="23" xfId="2" applyFont="1" applyFill="1" applyBorder="1" applyAlignment="1" applyProtection="1">
      <alignment horizontal="center" vertical="center" wrapText="1"/>
      <protection locked="0" hidden="1"/>
    </xf>
    <xf numFmtId="0" fontId="16" fillId="6" borderId="24" xfId="2" applyFont="1" applyFill="1" applyBorder="1" applyAlignment="1" applyProtection="1">
      <alignment horizontal="center" vertical="center" wrapText="1"/>
      <protection locked="0" hidden="1"/>
    </xf>
  </cellXfs>
  <cellStyles count="8">
    <cellStyle name="ハイパーリンク" xfId="3" builtinId="8"/>
    <cellStyle name="桁区切り" xfId="1" builtinId="6"/>
    <cellStyle name="標準" xfId="0" builtinId="0"/>
    <cellStyle name="標準 2" xfId="4" xr:uid="{00000000-0005-0000-0000-000003000000}"/>
    <cellStyle name="標準 20" xfId="6" xr:uid="{00000000-0005-0000-0000-000004000000}"/>
    <cellStyle name="標準 3" xfId="2" xr:uid="{00000000-0005-0000-0000-000005000000}"/>
    <cellStyle name="標準 4" xfId="5" xr:uid="{00000000-0005-0000-0000-000006000000}"/>
    <cellStyle name="標準 5" xfId="7" xr:uid="{00000000-0005-0000-0000-000007000000}"/>
  </cellStyles>
  <dxfs count="95">
    <dxf>
      <fill>
        <patternFill>
          <bgColor rgb="FFFFCCFF"/>
        </patternFill>
      </fill>
    </dxf>
    <dxf>
      <fill>
        <patternFill>
          <bgColor theme="7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99FF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strike val="0"/>
        <color rgb="FFFF0000"/>
      </font>
      <fill>
        <patternFill patternType="lightGray">
          <fgColor rgb="FFFF66FF"/>
          <bgColor auto="1"/>
        </patternFill>
      </fill>
      <border>
        <left style="dashDot">
          <color rgb="FFFF0000"/>
        </left>
        <right style="dashDot">
          <color rgb="FFFF0000"/>
        </right>
        <top style="dashDot">
          <color rgb="FFFF0000"/>
        </top>
        <bottom style="dashDot">
          <color rgb="FFFF0000"/>
        </bottom>
      </border>
    </dxf>
    <dxf>
      <font>
        <b/>
        <i val="0"/>
        <color theme="2" tint="-9.9948118533890809E-2"/>
      </font>
      <fill>
        <patternFill patternType="darkGray">
          <fgColor rgb="FFFF0000"/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strike val="0"/>
        <color rgb="FFFF0000"/>
      </font>
      <fill>
        <patternFill patternType="lightGray">
          <fgColor rgb="FFFF66FF"/>
          <bgColor auto="1"/>
        </patternFill>
      </fill>
      <border>
        <left style="dashDot">
          <color rgb="FFFF0000"/>
        </left>
        <right style="dashDot">
          <color rgb="FFFF0000"/>
        </right>
        <top style="dashDot">
          <color rgb="FFFF0000"/>
        </top>
        <bottom style="dashDot">
          <color rgb="FFFF0000"/>
        </bottom>
      </border>
    </dxf>
    <dxf>
      <font>
        <b/>
        <i val="0"/>
        <color theme="2" tint="-9.9948118533890809E-2"/>
      </font>
      <fill>
        <patternFill patternType="darkGray">
          <fgColor rgb="FFFF0000"/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/>
        <color rgb="FFFFFF00"/>
      </font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theme="1"/>
      </font>
    </dxf>
    <dxf>
      <fill>
        <patternFill>
          <bgColor theme="7" tint="0.79998168889431442"/>
        </patternFill>
      </fill>
    </dxf>
    <dxf>
      <font>
        <b/>
        <i val="0"/>
        <color theme="1"/>
      </font>
    </dxf>
    <dxf>
      <fill>
        <patternFill>
          <bgColor rgb="FFFF99FF"/>
        </patternFill>
      </fill>
    </dxf>
    <dxf>
      <fill>
        <patternFill>
          <bgColor rgb="FFFF6699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99FF"/>
        </patternFill>
      </fill>
    </dxf>
    <dxf>
      <fill>
        <patternFill>
          <bgColor rgb="FFFF00FF"/>
        </patternFill>
      </fill>
    </dxf>
    <dxf>
      <fill>
        <patternFill>
          <bgColor rgb="FFCC66FF"/>
        </patternFill>
      </fill>
    </dxf>
    <dxf>
      <fill>
        <patternFill>
          <bgColor rgb="FF99CCFF"/>
        </patternFill>
      </fill>
    </dxf>
    <dxf>
      <font>
        <b/>
        <i val="0"/>
        <color theme="1"/>
      </font>
    </dxf>
    <dxf>
      <fill>
        <patternFill>
          <bgColor theme="0"/>
        </patternFill>
      </fill>
    </dxf>
    <dxf>
      <font>
        <b/>
        <i val="0"/>
        <color theme="1"/>
      </font>
    </dxf>
    <dxf>
      <fill>
        <patternFill>
          <bgColor rgb="FFFFCCFF"/>
        </patternFill>
      </fill>
    </dxf>
    <dxf>
      <fill>
        <patternFill>
          <bgColor rgb="FF99CCFF"/>
        </patternFill>
      </fill>
    </dxf>
    <dxf>
      <fill>
        <patternFill>
          <bgColor theme="9" tint="0.79998168889431442"/>
        </patternFill>
      </fill>
    </dxf>
    <dxf>
      <font>
        <color rgb="FF3333FF"/>
      </font>
    </dxf>
    <dxf>
      <font>
        <color rgb="FF3333FF"/>
      </font>
    </dxf>
    <dxf>
      <font>
        <color rgb="FF3333FF"/>
      </font>
    </dxf>
    <dxf>
      <font>
        <color rgb="FF3333FF"/>
      </font>
    </dxf>
    <dxf>
      <font>
        <color rgb="FF3333FF"/>
      </font>
    </dxf>
    <dxf>
      <font>
        <color rgb="FF3333FF"/>
      </font>
    </dxf>
    <dxf>
      <font>
        <color rgb="FF3333FF"/>
      </font>
    </dxf>
    <dxf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ont>
        <color rgb="FFFF0000"/>
      </font>
      <fill>
        <patternFill>
          <bgColor rgb="FFFFFF00"/>
        </patternFill>
      </fill>
    </dxf>
    <dxf>
      <font>
        <color theme="1"/>
      </font>
      <fill>
        <patternFill>
          <bgColor rgb="FFFF00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99FF"/>
      <color rgb="FF99CCFF"/>
      <color rgb="FFFFCCFF"/>
      <color rgb="FF00FF99"/>
      <color rgb="FFFF6699"/>
      <color rgb="FFFF66CC"/>
      <color rgb="FFCC66FF"/>
      <color rgb="FFFFFFCC"/>
      <color rgb="FFCCE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10584</xdr:colOff>
      <xdr:row>6</xdr:row>
      <xdr:rowOff>58099</xdr:rowOff>
    </xdr:from>
    <xdr:to>
      <xdr:col>11</xdr:col>
      <xdr:colOff>669483</xdr:colOff>
      <xdr:row>26</xdr:row>
      <xdr:rowOff>167803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67" y="1518599"/>
          <a:ext cx="7326399" cy="4978037"/>
        </a:xfrm>
        <a:prstGeom prst="rect">
          <a:avLst/>
        </a:prstGeom>
        <a:ln w="25400" cmpd="sng">
          <a:solidFill>
            <a:schemeClr val="accent1"/>
          </a:solidFill>
        </a:ln>
      </xdr:spPr>
    </xdr:pic>
    <xdr:clientData/>
  </xdr:twoCellAnchor>
  <xdr:twoCellAnchor editAs="oneCell">
    <xdr:from>
      <xdr:col>1</xdr:col>
      <xdr:colOff>0</xdr:colOff>
      <xdr:row>65</xdr:row>
      <xdr:rowOff>34637</xdr:rowOff>
    </xdr:from>
    <xdr:to>
      <xdr:col>11</xdr:col>
      <xdr:colOff>646545</xdr:colOff>
      <xdr:row>81</xdr:row>
      <xdr:rowOff>84022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73" y="15794182"/>
          <a:ext cx="6765636" cy="3928658"/>
        </a:xfrm>
        <a:prstGeom prst="rect">
          <a:avLst/>
        </a:prstGeom>
        <a:ln w="25400">
          <a:solidFill>
            <a:schemeClr val="accent1"/>
          </a:solidFill>
        </a:ln>
      </xdr:spPr>
    </xdr:pic>
    <xdr:clientData/>
  </xdr:twoCellAnchor>
  <xdr:twoCellAnchor>
    <xdr:from>
      <xdr:col>9</xdr:col>
      <xdr:colOff>473364</xdr:colOff>
      <xdr:row>64</xdr:row>
      <xdr:rowOff>207818</xdr:rowOff>
    </xdr:from>
    <xdr:to>
      <xdr:col>10</xdr:col>
      <xdr:colOff>184727</xdr:colOff>
      <xdr:row>67</xdr:row>
      <xdr:rowOff>178954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 flipH="1">
          <a:off x="5437909" y="15724909"/>
          <a:ext cx="323273" cy="698500"/>
        </a:xfrm>
        <a:prstGeom prst="straightConnector1">
          <a:avLst/>
        </a:prstGeom>
        <a:ln w="28575">
          <a:solidFill>
            <a:srgbClr val="FF0000"/>
          </a:solidFill>
          <a:prstDash val="sysDot"/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254000</xdr:colOff>
      <xdr:row>64</xdr:row>
      <xdr:rowOff>236682</xdr:rowOff>
    </xdr:from>
    <xdr:to>
      <xdr:col>11</xdr:col>
      <xdr:colOff>86591</xdr:colOff>
      <xdr:row>80</xdr:row>
      <xdr:rowOff>150091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5830455" y="15753773"/>
          <a:ext cx="444500" cy="3792682"/>
        </a:xfrm>
        <a:prstGeom prst="straightConnector1">
          <a:avLst/>
        </a:prstGeom>
        <a:ln w="28575">
          <a:solidFill>
            <a:srgbClr val="FF0000"/>
          </a:solidFill>
          <a:prstDash val="sysDot"/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51955</xdr:colOff>
      <xdr:row>30</xdr:row>
      <xdr:rowOff>219365</xdr:rowOff>
    </xdr:from>
    <xdr:to>
      <xdr:col>11</xdr:col>
      <xdr:colOff>694948</xdr:colOff>
      <xdr:row>43</xdr:row>
      <xdr:rowOff>51956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228" y="7493001"/>
          <a:ext cx="6762084" cy="2984500"/>
        </a:xfrm>
        <a:prstGeom prst="rect">
          <a:avLst/>
        </a:prstGeom>
        <a:ln w="25400">
          <a:solidFill>
            <a:schemeClr val="accent1"/>
          </a:solidFill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11</xdr:col>
      <xdr:colOff>611909</xdr:colOff>
      <xdr:row>62</xdr:row>
      <xdr:rowOff>207818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73" y="11395364"/>
          <a:ext cx="6731000" cy="3844636"/>
        </a:xfrm>
        <a:prstGeom prst="rect">
          <a:avLst/>
        </a:prstGeom>
        <a:ln w="25400">
          <a:solidFill>
            <a:schemeClr val="accent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49</xdr:row>
      <xdr:rowOff>87313</xdr:rowOff>
    </xdr:from>
    <xdr:to>
      <xdr:col>7</xdr:col>
      <xdr:colOff>152400</xdr:colOff>
      <xdr:row>59</xdr:row>
      <xdr:rowOff>196850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82549" y="15117763"/>
          <a:ext cx="7550151" cy="19256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お客様情報の取り扱いについて</a:t>
          </a: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　当社は、お客様の個人情報を適切かつ安全に管理し、外部からの個人情報への不正アクセスや、その不正使用、紛失、破壊、改善、漏洩などを予防する保護策を講じています。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　詳細につきましては、ホームページをご高覧ください。（個人情報保護方針：</a:t>
          </a: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</a:rPr>
            <a:t>https://panasonic.co.jp/ew/pewbct/privacy/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お問い合わせ先</a:t>
          </a: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　パナソニック エレクトリックワークス創研株式会社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　東京：〒</a:t>
          </a: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</a:rPr>
            <a:t>105-0003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　東京都港区西新橋</a:t>
          </a: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</a:rPr>
            <a:t>2-8-6 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住友不動産日比谷ビル</a:t>
          </a: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</a:rPr>
            <a:t>6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階　</a:t>
          </a: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</a:rPr>
            <a:t>TEL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：</a:t>
          </a: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</a:rPr>
            <a:t>03-3507-7630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</a:rPr>
            <a:t>FAX:03-3507-7631</a:t>
          </a:r>
          <a:r>
            <a:rPr kumimoji="1" lang="en-US" altLang="ja-JP" sz="1000" baseline="0">
              <a:latin typeface="Meiryo UI" panose="020B0604030504040204" pitchFamily="50" charset="-128"/>
              <a:ea typeface="Meiryo UI" panose="020B0604030504040204" pitchFamily="50" charset="-128"/>
            </a:rPr>
            <a:t>   </a:t>
          </a:r>
          <a:r>
            <a:rPr kumimoji="1" lang="ja-JP" altLang="en-US" sz="1000" baseline="0">
              <a:latin typeface="Meiryo UI" panose="020B0604030504040204" pitchFamily="50" charset="-128"/>
              <a:ea typeface="Meiryo UI" panose="020B0604030504040204" pitchFamily="50" charset="-128"/>
            </a:rPr>
            <a:t>（</a:t>
          </a:r>
          <a:r>
            <a:rPr kumimoji="1" lang="en-US" altLang="ja-JP" sz="1000" baseline="0">
              <a:latin typeface="Meiryo UI" panose="020B0604030504040204" pitchFamily="50" charset="-128"/>
              <a:ea typeface="Meiryo UI" panose="020B0604030504040204" pitchFamily="50" charset="-128"/>
            </a:rPr>
            <a:t>2024</a:t>
          </a:r>
          <a:r>
            <a:rPr kumimoji="1" lang="ja-JP" altLang="en-US" sz="1000" baseline="0">
              <a:latin typeface="Meiryo UI" panose="020B0604030504040204" pitchFamily="50" charset="-128"/>
              <a:ea typeface="Meiryo UI" panose="020B0604030504040204" pitchFamily="50" charset="-128"/>
            </a:rPr>
            <a:t>年</a:t>
          </a:r>
          <a:r>
            <a:rPr kumimoji="1" lang="en-US" altLang="ja-JP" sz="1000" baseline="0">
              <a:latin typeface="Meiryo UI" panose="020B0604030504040204" pitchFamily="50" charset="-128"/>
              <a:ea typeface="Meiryo UI" panose="020B0604030504040204" pitchFamily="50" charset="-128"/>
            </a:rPr>
            <a:t>4</a:t>
          </a:r>
          <a:r>
            <a:rPr kumimoji="1" lang="ja-JP" altLang="en-US" sz="1000" baseline="0">
              <a:latin typeface="Meiryo UI" panose="020B0604030504040204" pitchFamily="50" charset="-128"/>
              <a:ea typeface="Meiryo UI" panose="020B0604030504040204" pitchFamily="50" charset="-128"/>
            </a:rPr>
            <a:t>月</a:t>
          </a:r>
          <a:r>
            <a:rPr kumimoji="1" lang="en-US" altLang="ja-JP" sz="1000" baseline="0"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kumimoji="1" lang="ja-JP" altLang="en-US" sz="1000" baseline="0">
              <a:latin typeface="Meiryo UI" panose="020B0604030504040204" pitchFamily="50" charset="-128"/>
              <a:ea typeface="Meiryo UI" panose="020B0604030504040204" pitchFamily="50" charset="-128"/>
            </a:rPr>
            <a:t>日より）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　大阪：〒</a:t>
          </a: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</a:rPr>
            <a:t>571-8686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　大阪府門真市大字門真</a:t>
          </a: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</a:rPr>
            <a:t>1048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</a:rPr>
            <a:t>TEL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：</a:t>
          </a: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</a:rPr>
            <a:t>06-6908-6863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</a:rPr>
            <a:t>FAX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：</a:t>
          </a: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</a:rPr>
            <a:t>06-6907-3426</a:t>
          </a:r>
          <a:endParaRPr kumimoji="1" lang="ja-JP" altLang="en-US" sz="10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0</xdr:col>
      <xdr:colOff>60325</xdr:colOff>
      <xdr:row>46</xdr:row>
      <xdr:rowOff>133351</xdr:rowOff>
    </xdr:from>
    <xdr:to>
      <xdr:col>4</xdr:col>
      <xdr:colOff>504826</xdr:colOff>
      <xdr:row>49</xdr:row>
      <xdr:rowOff>142875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60325" y="14778039"/>
          <a:ext cx="4714876" cy="7794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表示金額について</a:t>
          </a: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　・本注文書の金額は、消費税・地方消費税抜きの金額です。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　・支払い期日には法廷税率による、消費税額・地方消費税額分を加算して支払います。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</xdr:col>
      <xdr:colOff>115557</xdr:colOff>
      <xdr:row>32</xdr:row>
      <xdr:rowOff>38100</xdr:rowOff>
    </xdr:from>
    <xdr:to>
      <xdr:col>3</xdr:col>
      <xdr:colOff>1061981</xdr:colOff>
      <xdr:row>32</xdr:row>
      <xdr:rowOff>315977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429350" y="9639738"/>
          <a:ext cx="1154441" cy="277877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050" b="1">
              <a:solidFill>
                <a:srgbClr val="FF0000"/>
              </a:solidFill>
            </a:rPr>
            <a:t>選択して下さい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0.59999389629810485"/>
  </sheetPr>
  <dimension ref="A1:P104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sqref="A1:B1"/>
    </sheetView>
  </sheetViews>
  <sheetFormatPr defaultRowHeight="13"/>
  <cols>
    <col min="1" max="1" width="15.08984375" style="92" bestFit="1" customWidth="1"/>
    <col min="2" max="2" width="8.7265625" customWidth="1"/>
    <col min="3" max="3" width="11.6328125" bestFit="1" customWidth="1"/>
    <col min="4" max="4" width="9.08984375" bestFit="1" customWidth="1"/>
    <col min="5" max="5" width="2.90625" customWidth="1"/>
    <col min="6" max="6" width="17.7265625" customWidth="1"/>
    <col min="7" max="7" width="8.08984375" hidden="1" customWidth="1"/>
    <col min="8" max="8" width="2.453125" customWidth="1"/>
    <col min="9" max="9" width="13.26953125" customWidth="1"/>
    <col min="10" max="10" width="13" customWidth="1"/>
    <col min="12" max="12" width="13.36328125" customWidth="1"/>
    <col min="13" max="13" width="11.26953125" customWidth="1"/>
    <col min="14" max="14" width="4.36328125" customWidth="1"/>
    <col min="15" max="15" width="11.08984375" customWidth="1"/>
    <col min="16" max="16" width="4.90625" customWidth="1"/>
  </cols>
  <sheetData>
    <row r="1" spans="1:16" ht="39.5" thickBot="1">
      <c r="A1" s="473" t="s">
        <v>389</v>
      </c>
      <c r="B1" s="473"/>
      <c r="C1" s="88" t="s">
        <v>184</v>
      </c>
      <c r="D1" s="88" t="s">
        <v>185</v>
      </c>
      <c r="E1" s="469"/>
      <c r="F1" s="93" t="s">
        <v>418</v>
      </c>
      <c r="G1" s="91" t="s">
        <v>419</v>
      </c>
      <c r="H1" s="92"/>
      <c r="I1" t="s">
        <v>187</v>
      </c>
      <c r="J1" t="s">
        <v>186</v>
      </c>
      <c r="K1">
        <v>-5</v>
      </c>
      <c r="L1" s="103" t="s">
        <v>188</v>
      </c>
      <c r="M1" s="90">
        <f ca="1">MATCH($O$1,$C$2:$C$53,1)+1-M2</f>
        <v>4</v>
      </c>
      <c r="N1" s="125" t="s">
        <v>189</v>
      </c>
      <c r="O1" s="90">
        <f ca="1">TODAY()</f>
        <v>45686</v>
      </c>
      <c r="P1" s="97"/>
    </row>
    <row r="2" spans="1:16" ht="15.65" customHeight="1" thickBot="1">
      <c r="A2" s="470">
        <f ca="1">O1</f>
        <v>45686</v>
      </c>
      <c r="B2" s="102" t="str">
        <f t="shared" ref="B2:B32" ca="1" si="0">TEXT(A2,"aaa")</f>
        <v>水</v>
      </c>
      <c r="C2" s="101">
        <f ca="1">WORKDAY(A2,-10,$I$19:$I$62)</f>
        <v>45672</v>
      </c>
      <c r="D2" s="102" t="str">
        <f ca="1">TEXT(C2,"aaa")</f>
        <v>水</v>
      </c>
      <c r="E2" s="469"/>
      <c r="F2" s="93"/>
      <c r="G2" s="91"/>
      <c r="H2" s="92" t="s">
        <v>487</v>
      </c>
      <c r="I2" s="90"/>
      <c r="M2">
        <f ca="1">COUNTIF($C$2:$C$53,O1)</f>
        <v>0</v>
      </c>
    </row>
    <row r="3" spans="1:16" ht="15.65" customHeight="1">
      <c r="A3" s="186">
        <v>45672</v>
      </c>
      <c r="B3" s="87" t="str">
        <f t="shared" ref="B3:B9" si="1">TEXT(A3,"aaa")</f>
        <v>水</v>
      </c>
      <c r="C3" s="96">
        <f t="shared" ref="C3:C35" si="2">WORKDAY(A3,-10,$I$3:$I$62)</f>
        <v>45650</v>
      </c>
      <c r="D3" s="89" t="str">
        <f t="shared" ref="D3:D35" si="3">TEXT(C3,"aaa")</f>
        <v>火</v>
      </c>
      <c r="E3" s="339"/>
      <c r="F3" s="471">
        <f t="shared" ref="F3:F35" si="4">WORKDAY(A3,-3,$I$3:$I$61)</f>
        <v>45666</v>
      </c>
      <c r="G3" s="459" t="str">
        <f t="shared" ref="G3:G12" si="5">TEXT(F3,"aaa")</f>
        <v>木</v>
      </c>
      <c r="I3" s="90">
        <v>45656</v>
      </c>
      <c r="J3" t="s">
        <v>475</v>
      </c>
      <c r="L3" s="104">
        <f t="shared" ref="L3:L11" ca="1" si="6">OFFSET($A$3,$M$1+ROW(L3)+$K$1,0)</f>
        <v>45705</v>
      </c>
    </row>
    <row r="4" spans="1:16" ht="15.65" customHeight="1">
      <c r="A4" s="186">
        <v>45691</v>
      </c>
      <c r="B4" s="87" t="str">
        <f t="shared" si="1"/>
        <v>月</v>
      </c>
      <c r="C4" s="96">
        <f t="shared" si="2"/>
        <v>45677</v>
      </c>
      <c r="D4" s="89" t="str">
        <f t="shared" si="3"/>
        <v>月</v>
      </c>
      <c r="E4" s="339"/>
      <c r="F4" s="471">
        <f t="shared" si="4"/>
        <v>45686</v>
      </c>
      <c r="G4" s="459" t="str">
        <f t="shared" si="5"/>
        <v>水</v>
      </c>
      <c r="I4" s="90">
        <v>45657</v>
      </c>
      <c r="J4" t="s">
        <v>475</v>
      </c>
      <c r="L4" s="99">
        <f t="shared" ca="1" si="6"/>
        <v>45719</v>
      </c>
    </row>
    <row r="5" spans="1:16" ht="15.65" customHeight="1" thickBot="1">
      <c r="A5" s="186">
        <v>45705</v>
      </c>
      <c r="B5" s="87" t="str">
        <f t="shared" si="1"/>
        <v>月</v>
      </c>
      <c r="C5" s="96">
        <f t="shared" si="2"/>
        <v>45687</v>
      </c>
      <c r="D5" s="89" t="str">
        <f t="shared" si="3"/>
        <v>木</v>
      </c>
      <c r="E5" s="339"/>
      <c r="F5" s="471">
        <f t="shared" si="4"/>
        <v>45700</v>
      </c>
      <c r="G5" s="460" t="str">
        <f t="shared" si="5"/>
        <v>水</v>
      </c>
      <c r="I5" s="90">
        <v>45658</v>
      </c>
      <c r="J5" t="s">
        <v>476</v>
      </c>
      <c r="L5" s="99">
        <f t="shared" ca="1" si="6"/>
        <v>45733</v>
      </c>
    </row>
    <row r="6" spans="1:16" ht="15.65" customHeight="1" thickBot="1">
      <c r="A6" s="186">
        <v>45719</v>
      </c>
      <c r="B6" s="87" t="str">
        <f t="shared" si="1"/>
        <v>月</v>
      </c>
      <c r="C6" s="96">
        <f t="shared" si="2"/>
        <v>45702</v>
      </c>
      <c r="D6" s="89" t="str">
        <f t="shared" si="3"/>
        <v>金</v>
      </c>
      <c r="E6" s="339"/>
      <c r="F6" s="471">
        <f t="shared" si="4"/>
        <v>45714</v>
      </c>
      <c r="G6" s="461" t="str">
        <f t="shared" si="5"/>
        <v>水</v>
      </c>
      <c r="I6" s="90">
        <v>45659</v>
      </c>
      <c r="J6" t="s">
        <v>475</v>
      </c>
      <c r="L6" s="100">
        <f t="shared" ca="1" si="6"/>
        <v>45748</v>
      </c>
    </row>
    <row r="7" spans="1:16" ht="15.65" customHeight="1">
      <c r="A7" s="186">
        <v>45733</v>
      </c>
      <c r="B7" s="87" t="str">
        <f t="shared" si="1"/>
        <v>月</v>
      </c>
      <c r="C7" s="96">
        <f t="shared" si="2"/>
        <v>45719</v>
      </c>
      <c r="D7" s="89" t="str">
        <f t="shared" si="3"/>
        <v>月</v>
      </c>
      <c r="E7" s="339"/>
      <c r="F7" s="471">
        <f t="shared" si="4"/>
        <v>45728</v>
      </c>
      <c r="G7" s="459" t="str">
        <f t="shared" si="5"/>
        <v>水</v>
      </c>
      <c r="I7" s="90">
        <v>45660</v>
      </c>
      <c r="J7" t="s">
        <v>475</v>
      </c>
      <c r="L7" s="98">
        <f t="shared" ca="1" si="6"/>
        <v>45762</v>
      </c>
    </row>
    <row r="8" spans="1:16" ht="15.65" customHeight="1" thickBot="1">
      <c r="A8" s="186">
        <v>45748</v>
      </c>
      <c r="B8" s="87" t="str">
        <f t="shared" si="1"/>
        <v>火</v>
      </c>
      <c r="C8" s="96">
        <f t="shared" si="2"/>
        <v>45733</v>
      </c>
      <c r="D8" s="89" t="str">
        <f t="shared" si="3"/>
        <v>月</v>
      </c>
      <c r="E8" s="339"/>
      <c r="F8" s="471">
        <f t="shared" si="4"/>
        <v>45743</v>
      </c>
      <c r="G8" s="460" t="str">
        <f t="shared" si="5"/>
        <v>木</v>
      </c>
      <c r="I8" s="90">
        <v>45661</v>
      </c>
      <c r="J8" t="s">
        <v>475</v>
      </c>
      <c r="L8" s="98">
        <f t="shared" ca="1" si="6"/>
        <v>45792</v>
      </c>
    </row>
    <row r="9" spans="1:16" ht="15.65" customHeight="1">
      <c r="A9" s="186">
        <v>45762</v>
      </c>
      <c r="B9" s="87" t="str">
        <f t="shared" si="1"/>
        <v>火</v>
      </c>
      <c r="C9" s="96">
        <f t="shared" si="2"/>
        <v>45748</v>
      </c>
      <c r="D9" s="89" t="str">
        <f t="shared" si="3"/>
        <v>火</v>
      </c>
      <c r="E9" s="339"/>
      <c r="F9" s="471">
        <f t="shared" si="4"/>
        <v>45757</v>
      </c>
      <c r="G9" s="461" t="str">
        <f t="shared" si="5"/>
        <v>木</v>
      </c>
      <c r="I9" s="90">
        <v>45670</v>
      </c>
      <c r="J9" t="s">
        <v>417</v>
      </c>
      <c r="L9" s="98">
        <f t="shared" ca="1" si="6"/>
        <v>45810</v>
      </c>
    </row>
    <row r="10" spans="1:16" ht="15.65" customHeight="1">
      <c r="A10" s="186">
        <v>45792</v>
      </c>
      <c r="B10" s="87" t="str">
        <f t="shared" si="0"/>
        <v>木</v>
      </c>
      <c r="C10" s="96">
        <f t="shared" si="2"/>
        <v>45769</v>
      </c>
      <c r="D10" s="89" t="str">
        <f t="shared" si="3"/>
        <v>火</v>
      </c>
      <c r="E10" s="339"/>
      <c r="F10" s="471">
        <f t="shared" si="4"/>
        <v>45789</v>
      </c>
      <c r="G10" s="459" t="str">
        <f t="shared" si="5"/>
        <v>月</v>
      </c>
      <c r="I10" s="90">
        <v>45698</v>
      </c>
      <c r="J10" t="s">
        <v>471</v>
      </c>
      <c r="L10" s="98">
        <f t="shared" ca="1" si="6"/>
        <v>45824</v>
      </c>
    </row>
    <row r="11" spans="1:16" ht="15.65" customHeight="1" thickBot="1">
      <c r="A11" s="186">
        <v>45810</v>
      </c>
      <c r="B11" s="87" t="str">
        <f t="shared" si="0"/>
        <v>月</v>
      </c>
      <c r="C11" s="96">
        <f t="shared" si="2"/>
        <v>45796</v>
      </c>
      <c r="D11" s="89" t="str">
        <f t="shared" si="3"/>
        <v>月</v>
      </c>
      <c r="E11" s="339"/>
      <c r="F11" s="471">
        <f t="shared" si="4"/>
        <v>45805</v>
      </c>
      <c r="G11" s="460" t="str">
        <f t="shared" si="5"/>
        <v>水</v>
      </c>
      <c r="I11" s="90">
        <v>45699</v>
      </c>
      <c r="J11" t="s">
        <v>480</v>
      </c>
      <c r="L11" s="98">
        <f t="shared" ca="1" si="6"/>
        <v>45839</v>
      </c>
    </row>
    <row r="12" spans="1:16" ht="15.65" customHeight="1">
      <c r="A12" s="186">
        <v>45824</v>
      </c>
      <c r="B12" s="87" t="str">
        <f t="shared" si="0"/>
        <v>月</v>
      </c>
      <c r="C12" s="96">
        <f t="shared" si="2"/>
        <v>45810</v>
      </c>
      <c r="D12" s="89" t="str">
        <f t="shared" si="3"/>
        <v>月</v>
      </c>
      <c r="E12" s="339"/>
      <c r="F12" s="471">
        <f t="shared" si="4"/>
        <v>45819</v>
      </c>
      <c r="G12" s="461" t="str">
        <f t="shared" si="5"/>
        <v>水</v>
      </c>
      <c r="I12" s="90">
        <v>45711</v>
      </c>
      <c r="J12" t="s">
        <v>413</v>
      </c>
      <c r="L12" s="98"/>
    </row>
    <row r="13" spans="1:16" ht="15.65" customHeight="1" thickBot="1">
      <c r="A13" s="186">
        <v>45839</v>
      </c>
      <c r="B13" s="87" t="str">
        <f t="shared" si="0"/>
        <v>火</v>
      </c>
      <c r="C13" s="96">
        <f t="shared" si="2"/>
        <v>45825</v>
      </c>
      <c r="D13" s="89" t="str">
        <f t="shared" si="3"/>
        <v>火</v>
      </c>
      <c r="E13" s="472"/>
      <c r="F13" s="471">
        <f t="shared" si="4"/>
        <v>45834</v>
      </c>
      <c r="G13" s="460" t="e">
        <f>TEXT(#REF!,"aaa")</f>
        <v>#REF!</v>
      </c>
      <c r="I13" s="90">
        <v>45712</v>
      </c>
      <c r="J13" t="s">
        <v>477</v>
      </c>
      <c r="L13" s="98"/>
    </row>
    <row r="14" spans="1:16" ht="15.65" customHeight="1">
      <c r="A14" s="186">
        <v>45853</v>
      </c>
      <c r="B14" s="87" t="str">
        <f t="shared" si="0"/>
        <v>火</v>
      </c>
      <c r="C14" s="96">
        <f t="shared" si="2"/>
        <v>45839</v>
      </c>
      <c r="D14" s="89" t="str">
        <f t="shared" si="3"/>
        <v>火</v>
      </c>
      <c r="E14" s="339"/>
      <c r="F14" s="471">
        <f t="shared" si="4"/>
        <v>45848</v>
      </c>
      <c r="G14" s="461" t="str">
        <f t="shared" ref="G14:G33" si="7">TEXT(F13,"aaa")</f>
        <v>木</v>
      </c>
      <c r="I14" s="90">
        <v>45736</v>
      </c>
      <c r="J14" t="s">
        <v>414</v>
      </c>
      <c r="L14" s="98"/>
    </row>
    <row r="15" spans="1:16" ht="15.65" customHeight="1" thickBot="1">
      <c r="A15" s="186">
        <v>45870</v>
      </c>
      <c r="B15" s="87" t="str">
        <f t="shared" si="0"/>
        <v>金</v>
      </c>
      <c r="C15" s="96">
        <f t="shared" si="2"/>
        <v>45855</v>
      </c>
      <c r="D15" s="89" t="str">
        <f t="shared" si="3"/>
        <v>木</v>
      </c>
      <c r="E15" s="339"/>
      <c r="F15" s="471">
        <f t="shared" si="4"/>
        <v>45867</v>
      </c>
      <c r="G15" s="460" t="str">
        <f t="shared" si="7"/>
        <v>木</v>
      </c>
      <c r="I15" s="90">
        <v>45775</v>
      </c>
      <c r="J15" t="s">
        <v>471</v>
      </c>
      <c r="L15" s="98"/>
    </row>
    <row r="16" spans="1:16" ht="15.65" customHeight="1">
      <c r="A16" s="186">
        <v>45901</v>
      </c>
      <c r="B16" s="87" t="str">
        <f t="shared" si="0"/>
        <v>月</v>
      </c>
      <c r="C16" s="96">
        <f t="shared" si="2"/>
        <v>45887</v>
      </c>
      <c r="D16" s="89" t="str">
        <f t="shared" si="3"/>
        <v>月</v>
      </c>
      <c r="E16" s="339"/>
      <c r="F16" s="471">
        <f t="shared" si="4"/>
        <v>45896</v>
      </c>
      <c r="G16" s="461" t="str">
        <f t="shared" si="7"/>
        <v>火</v>
      </c>
      <c r="I16" s="90">
        <v>45776</v>
      </c>
      <c r="J16" t="s">
        <v>479</v>
      </c>
      <c r="L16" s="98" t="s">
        <v>199</v>
      </c>
      <c r="M16" t="s">
        <v>244</v>
      </c>
    </row>
    <row r="17" spans="1:12" ht="15.65" customHeight="1" thickBot="1">
      <c r="A17" s="186">
        <v>45916</v>
      </c>
      <c r="B17" s="87" t="str">
        <f t="shared" si="0"/>
        <v>火</v>
      </c>
      <c r="C17" s="96">
        <f t="shared" si="2"/>
        <v>45901</v>
      </c>
      <c r="D17" s="89" t="str">
        <f t="shared" si="3"/>
        <v>月</v>
      </c>
      <c r="E17" s="339"/>
      <c r="F17" s="471">
        <f t="shared" si="4"/>
        <v>45910</v>
      </c>
      <c r="G17" s="460" t="str">
        <f t="shared" si="7"/>
        <v>水</v>
      </c>
      <c r="I17" s="90">
        <v>45777</v>
      </c>
      <c r="J17" t="s">
        <v>471</v>
      </c>
      <c r="L17" s="76" t="str">
        <f>講座一覧!C2</f>
        <v>電材系スキル</v>
      </c>
    </row>
    <row r="18" spans="1:12" ht="15.65" customHeight="1">
      <c r="A18" s="186">
        <v>45931</v>
      </c>
      <c r="B18" s="87" t="str">
        <f t="shared" si="0"/>
        <v>水</v>
      </c>
      <c r="C18" s="96">
        <f t="shared" si="2"/>
        <v>45916</v>
      </c>
      <c r="D18" s="89" t="str">
        <f t="shared" si="3"/>
        <v>火</v>
      </c>
      <c r="E18" s="339"/>
      <c r="F18" s="471">
        <f t="shared" si="4"/>
        <v>45926</v>
      </c>
      <c r="G18" s="461" t="str">
        <f t="shared" si="7"/>
        <v>水</v>
      </c>
      <c r="I18" s="90">
        <v>45778</v>
      </c>
      <c r="J18" t="s">
        <v>469</v>
      </c>
      <c r="L18" s="51" t="str">
        <f>講座一覧!C13</f>
        <v>住建系スキル</v>
      </c>
    </row>
    <row r="19" spans="1:12" ht="15.65" customHeight="1" thickBot="1">
      <c r="A19" s="186">
        <v>45945</v>
      </c>
      <c r="B19" s="87" t="str">
        <f t="shared" si="0"/>
        <v>水</v>
      </c>
      <c r="C19" s="96">
        <f t="shared" si="2"/>
        <v>45930</v>
      </c>
      <c r="D19" s="89" t="str">
        <f t="shared" si="3"/>
        <v>火</v>
      </c>
      <c r="E19" s="339"/>
      <c r="F19" s="471">
        <f t="shared" si="4"/>
        <v>45939</v>
      </c>
      <c r="G19" s="460" t="str">
        <f t="shared" si="7"/>
        <v>金</v>
      </c>
      <c r="I19" s="90">
        <v>45779</v>
      </c>
      <c r="J19" t="s">
        <v>470</v>
      </c>
      <c r="L19" s="51" t="str">
        <f>講座一覧!C41</f>
        <v>コンプライアンス</v>
      </c>
    </row>
    <row r="20" spans="1:12" ht="15.65" customHeight="1">
      <c r="A20" s="186">
        <v>45965</v>
      </c>
      <c r="B20" s="87" t="str">
        <f t="shared" si="0"/>
        <v>火</v>
      </c>
      <c r="C20" s="96">
        <f t="shared" si="2"/>
        <v>45950</v>
      </c>
      <c r="D20" s="89" t="str">
        <f t="shared" si="3"/>
        <v>月</v>
      </c>
      <c r="E20" s="339"/>
      <c r="F20" s="471">
        <f t="shared" si="4"/>
        <v>45959</v>
      </c>
      <c r="G20" s="461" t="str">
        <f t="shared" si="7"/>
        <v>木</v>
      </c>
      <c r="I20" s="90">
        <v>45780</v>
      </c>
      <c r="J20" t="s">
        <v>385</v>
      </c>
      <c r="L20" s="51" t="str">
        <f>講座一覧!C62</f>
        <v>メンタルヘルス</v>
      </c>
    </row>
    <row r="21" spans="1:12" ht="15.65" customHeight="1" thickBot="1">
      <c r="A21" s="186">
        <v>45978</v>
      </c>
      <c r="B21" s="87" t="str">
        <f t="shared" si="0"/>
        <v>月</v>
      </c>
      <c r="C21" s="96">
        <f t="shared" si="2"/>
        <v>45961</v>
      </c>
      <c r="D21" s="89" t="str">
        <f t="shared" si="3"/>
        <v>金</v>
      </c>
      <c r="E21" s="339"/>
      <c r="F21" s="471">
        <f t="shared" si="4"/>
        <v>45973</v>
      </c>
      <c r="G21" s="460" t="str">
        <f t="shared" si="7"/>
        <v>水</v>
      </c>
      <c r="I21" s="90">
        <v>45781</v>
      </c>
      <c r="J21" t="s">
        <v>386</v>
      </c>
      <c r="L21" s="51" t="str">
        <f>講座一覧!C77</f>
        <v>情報セキュリティ</v>
      </c>
    </row>
    <row r="22" spans="1:12" ht="15.65" customHeight="1">
      <c r="A22" s="186">
        <v>45992</v>
      </c>
      <c r="B22" s="87" t="str">
        <f t="shared" si="0"/>
        <v>月</v>
      </c>
      <c r="C22" s="96">
        <f t="shared" si="2"/>
        <v>45975</v>
      </c>
      <c r="D22" s="89" t="str">
        <f t="shared" si="3"/>
        <v>金</v>
      </c>
      <c r="E22" s="339"/>
      <c r="F22" s="471">
        <f t="shared" si="4"/>
        <v>45987</v>
      </c>
      <c r="G22" s="461" t="str">
        <f t="shared" si="7"/>
        <v>水</v>
      </c>
      <c r="I22" s="90">
        <v>45782</v>
      </c>
      <c r="J22" t="s">
        <v>387</v>
      </c>
      <c r="L22" s="51"/>
    </row>
    <row r="23" spans="1:12" ht="15.65" customHeight="1">
      <c r="A23" s="186">
        <v>46006</v>
      </c>
      <c r="B23" s="87" t="str">
        <f t="shared" ref="B23" si="8">TEXT(A23,"aaa")</f>
        <v>月</v>
      </c>
      <c r="C23" s="96">
        <f t="shared" si="2"/>
        <v>45992</v>
      </c>
      <c r="D23" s="89" t="str">
        <f t="shared" si="3"/>
        <v>月</v>
      </c>
      <c r="E23" s="339"/>
      <c r="F23" s="471">
        <f t="shared" si="4"/>
        <v>46001</v>
      </c>
      <c r="G23" s="468"/>
      <c r="I23" s="90">
        <v>45783</v>
      </c>
      <c r="J23" t="s">
        <v>482</v>
      </c>
      <c r="L23" s="51"/>
    </row>
    <row r="24" spans="1:12" ht="15.65" customHeight="1" thickBot="1">
      <c r="A24" s="186">
        <v>46037</v>
      </c>
      <c r="B24" s="87" t="str">
        <f t="shared" si="0"/>
        <v>木</v>
      </c>
      <c r="C24" s="96">
        <f t="shared" si="2"/>
        <v>46015</v>
      </c>
      <c r="D24" s="89" t="str">
        <f t="shared" si="3"/>
        <v>水</v>
      </c>
      <c r="E24" s="339"/>
      <c r="F24" s="471">
        <f t="shared" si="4"/>
        <v>46031</v>
      </c>
      <c r="G24" s="460" t="str">
        <f>TEXT(F22,"aaa")</f>
        <v>水</v>
      </c>
      <c r="I24" s="90">
        <v>45859</v>
      </c>
      <c r="J24" t="s">
        <v>388</v>
      </c>
      <c r="L24" s="51"/>
    </row>
    <row r="25" spans="1:12" ht="15.65" customHeight="1">
      <c r="A25" s="186">
        <v>46055</v>
      </c>
      <c r="B25" s="87" t="str">
        <f t="shared" si="0"/>
        <v>月</v>
      </c>
      <c r="C25" s="96">
        <f t="shared" si="2"/>
        <v>46041</v>
      </c>
      <c r="D25" s="89" t="str">
        <f t="shared" si="3"/>
        <v>月</v>
      </c>
      <c r="E25" s="339"/>
      <c r="F25" s="471">
        <f t="shared" si="4"/>
        <v>46050</v>
      </c>
      <c r="G25" s="461" t="str">
        <f t="shared" si="7"/>
        <v>金</v>
      </c>
      <c r="I25" s="90">
        <v>45877</v>
      </c>
      <c r="J25" t="s">
        <v>488</v>
      </c>
    </row>
    <row r="26" spans="1:12" ht="15.65" customHeight="1" thickBot="1">
      <c r="A26" s="186">
        <v>46069</v>
      </c>
      <c r="B26" s="87" t="str">
        <f t="shared" si="0"/>
        <v>月</v>
      </c>
      <c r="C26" s="96">
        <f t="shared" si="2"/>
        <v>46052</v>
      </c>
      <c r="D26" s="89" t="str">
        <f t="shared" si="3"/>
        <v>金</v>
      </c>
      <c r="E26" s="339"/>
      <c r="F26" s="471">
        <f t="shared" si="4"/>
        <v>46063</v>
      </c>
      <c r="G26" s="460" t="str">
        <f t="shared" si="7"/>
        <v>水</v>
      </c>
      <c r="I26" s="90">
        <v>45880</v>
      </c>
      <c r="J26" t="s">
        <v>472</v>
      </c>
    </row>
    <row r="27" spans="1:12" ht="15.65" customHeight="1">
      <c r="A27" s="186">
        <v>46083</v>
      </c>
      <c r="B27" s="87" t="str">
        <f t="shared" si="0"/>
        <v>月</v>
      </c>
      <c r="C27" s="96">
        <f t="shared" si="2"/>
        <v>46066</v>
      </c>
      <c r="D27" s="89" t="str">
        <f t="shared" si="3"/>
        <v>金</v>
      </c>
      <c r="E27" s="339"/>
      <c r="F27" s="471">
        <f t="shared" si="4"/>
        <v>46078</v>
      </c>
      <c r="G27" s="461" t="str">
        <f t="shared" si="7"/>
        <v>火</v>
      </c>
      <c r="I27" s="90">
        <v>45881</v>
      </c>
      <c r="J27" t="s">
        <v>482</v>
      </c>
    </row>
    <row r="28" spans="1:12" ht="15.65" customHeight="1" thickBot="1">
      <c r="A28" s="186">
        <v>46097</v>
      </c>
      <c r="B28" s="87" t="str">
        <f t="shared" si="0"/>
        <v>月</v>
      </c>
      <c r="C28" s="96">
        <f t="shared" si="2"/>
        <v>46083</v>
      </c>
      <c r="D28" s="89" t="str">
        <f t="shared" si="3"/>
        <v>月</v>
      </c>
      <c r="E28" s="339"/>
      <c r="F28" s="471">
        <f t="shared" si="4"/>
        <v>46092</v>
      </c>
      <c r="G28" s="460" t="str">
        <f t="shared" si="7"/>
        <v>水</v>
      </c>
      <c r="I28" s="90">
        <v>45882</v>
      </c>
      <c r="J28" t="s">
        <v>470</v>
      </c>
    </row>
    <row r="29" spans="1:12" ht="14.25" customHeight="1" thickBot="1">
      <c r="A29" s="186">
        <v>46113</v>
      </c>
      <c r="B29" s="87" t="str">
        <f t="shared" si="0"/>
        <v>水</v>
      </c>
      <c r="C29" s="96">
        <f t="shared" si="2"/>
        <v>46098</v>
      </c>
      <c r="D29" s="89" t="str">
        <f t="shared" si="3"/>
        <v>火</v>
      </c>
      <c r="E29" s="339"/>
      <c r="F29" s="471">
        <f t="shared" si="4"/>
        <v>46108</v>
      </c>
      <c r="G29" s="462" t="str">
        <f t="shared" si="7"/>
        <v>水</v>
      </c>
      <c r="I29" s="90">
        <v>45883</v>
      </c>
      <c r="J29" t="s">
        <v>470</v>
      </c>
    </row>
    <row r="30" spans="1:12" ht="15.65" customHeight="1">
      <c r="A30" s="186">
        <v>46127</v>
      </c>
      <c r="B30" s="87" t="str">
        <f t="shared" si="0"/>
        <v>水</v>
      </c>
      <c r="C30" s="96">
        <f t="shared" si="2"/>
        <v>46113</v>
      </c>
      <c r="D30" s="89" t="str">
        <f t="shared" si="3"/>
        <v>水</v>
      </c>
      <c r="E30" s="339"/>
      <c r="F30" s="471">
        <f t="shared" si="4"/>
        <v>46122</v>
      </c>
      <c r="G30" s="461" t="str">
        <f t="shared" si="7"/>
        <v>金</v>
      </c>
      <c r="I30" s="90">
        <v>45884</v>
      </c>
      <c r="J30" t="s">
        <v>470</v>
      </c>
    </row>
    <row r="31" spans="1:12" ht="15.65" customHeight="1" thickBot="1">
      <c r="A31" s="186">
        <v>46157</v>
      </c>
      <c r="B31" s="87" t="str">
        <f t="shared" si="0"/>
        <v>金</v>
      </c>
      <c r="C31" s="96">
        <f t="shared" si="2"/>
        <v>46143</v>
      </c>
      <c r="D31" s="89" t="str">
        <f t="shared" si="3"/>
        <v>金</v>
      </c>
      <c r="E31" s="339"/>
      <c r="F31" s="471">
        <f t="shared" si="4"/>
        <v>46154</v>
      </c>
      <c r="G31" s="460" t="str">
        <f t="shared" si="7"/>
        <v>金</v>
      </c>
      <c r="I31" s="90">
        <v>45915</v>
      </c>
      <c r="J31" t="s">
        <v>473</v>
      </c>
    </row>
    <row r="32" spans="1:12" ht="15.65" customHeight="1">
      <c r="A32" s="186"/>
      <c r="B32" s="87" t="str">
        <f t="shared" si="0"/>
        <v>土</v>
      </c>
      <c r="C32" s="96" t="e">
        <f t="shared" si="2"/>
        <v>#NUM!</v>
      </c>
      <c r="D32" s="89" t="e">
        <f t="shared" si="3"/>
        <v>#NUM!</v>
      </c>
      <c r="E32" s="339"/>
      <c r="F32" s="471" t="e">
        <f t="shared" si="4"/>
        <v>#NUM!</v>
      </c>
      <c r="G32" s="461" t="str">
        <f t="shared" si="7"/>
        <v>火</v>
      </c>
      <c r="I32" s="90">
        <v>45923</v>
      </c>
      <c r="J32" t="s">
        <v>481</v>
      </c>
    </row>
    <row r="33" spans="1:10" ht="15.65" customHeight="1" thickBot="1">
      <c r="A33" s="186"/>
      <c r="B33" s="87"/>
      <c r="C33" s="96" t="e">
        <f t="shared" si="2"/>
        <v>#NUM!</v>
      </c>
      <c r="D33" s="89" t="e">
        <f t="shared" si="3"/>
        <v>#NUM!</v>
      </c>
      <c r="E33" s="339"/>
      <c r="F33" s="471" t="e">
        <f t="shared" si="4"/>
        <v>#NUM!</v>
      </c>
      <c r="G33" s="460" t="e">
        <f t="shared" si="7"/>
        <v>#NUM!</v>
      </c>
      <c r="I33" s="90">
        <v>45943</v>
      </c>
      <c r="J33" t="s">
        <v>474</v>
      </c>
    </row>
    <row r="34" spans="1:10" ht="15.65" customHeight="1">
      <c r="A34" s="186"/>
      <c r="B34" s="87"/>
      <c r="C34" s="96" t="e">
        <f t="shared" si="2"/>
        <v>#NUM!</v>
      </c>
      <c r="D34" s="89" t="e">
        <f t="shared" si="3"/>
        <v>#NUM!</v>
      </c>
      <c r="E34" s="339"/>
      <c r="F34" s="471" t="e">
        <f t="shared" si="4"/>
        <v>#NUM!</v>
      </c>
      <c r="I34" s="90">
        <v>45964</v>
      </c>
      <c r="J34" t="s">
        <v>483</v>
      </c>
    </row>
    <row r="35" spans="1:10" ht="15.65" customHeight="1">
      <c r="A35" s="186"/>
      <c r="B35" s="87"/>
      <c r="C35" s="96" t="e">
        <f t="shared" si="2"/>
        <v>#NUM!</v>
      </c>
      <c r="D35" s="89" t="e">
        <f t="shared" si="3"/>
        <v>#NUM!</v>
      </c>
      <c r="E35" s="339"/>
      <c r="F35" s="185" t="e">
        <f t="shared" si="4"/>
        <v>#NUM!</v>
      </c>
      <c r="I35" s="90">
        <v>45985</v>
      </c>
      <c r="J35" t="s">
        <v>477</v>
      </c>
    </row>
    <row r="36" spans="1:10" ht="15.65" customHeight="1">
      <c r="A36" s="186"/>
      <c r="B36" s="87"/>
      <c r="C36" s="96"/>
      <c r="D36" s="89"/>
      <c r="E36" s="339"/>
      <c r="F36" s="185"/>
      <c r="I36" s="90">
        <v>46020</v>
      </c>
      <c r="J36" t="s">
        <v>475</v>
      </c>
    </row>
    <row r="37" spans="1:10" ht="15.65" customHeight="1">
      <c r="A37" s="186"/>
      <c r="B37" s="87"/>
      <c r="C37" s="96"/>
      <c r="D37" s="89"/>
      <c r="E37" s="339"/>
      <c r="F37" s="185"/>
      <c r="I37" s="90">
        <v>46021</v>
      </c>
      <c r="J37" t="s">
        <v>475</v>
      </c>
    </row>
    <row r="38" spans="1:10" ht="15.65" customHeight="1">
      <c r="A38" s="186"/>
      <c r="B38" s="87"/>
      <c r="C38" s="96"/>
      <c r="D38" s="89"/>
      <c r="E38" s="339"/>
      <c r="F38" s="185"/>
      <c r="I38" s="90">
        <v>46022</v>
      </c>
      <c r="J38" t="s">
        <v>475</v>
      </c>
    </row>
    <row r="39" spans="1:10" ht="15.65" customHeight="1">
      <c r="A39" s="186"/>
      <c r="B39" s="87"/>
      <c r="C39" s="96"/>
      <c r="D39" s="89"/>
      <c r="E39" s="339"/>
      <c r="F39" s="185"/>
      <c r="I39" s="90">
        <v>46023</v>
      </c>
      <c r="J39" t="s">
        <v>476</v>
      </c>
    </row>
    <row r="40" spans="1:10" ht="15.65" customHeight="1">
      <c r="A40" s="186"/>
      <c r="B40" s="87"/>
      <c r="C40" s="96"/>
      <c r="D40" s="89"/>
      <c r="E40" s="339"/>
      <c r="F40" s="185"/>
      <c r="I40" s="90">
        <v>46024</v>
      </c>
      <c r="J40" t="s">
        <v>475</v>
      </c>
    </row>
    <row r="41" spans="1:10" ht="15.65" customHeight="1">
      <c r="I41" s="90">
        <v>46034</v>
      </c>
      <c r="J41" t="s">
        <v>417</v>
      </c>
    </row>
    <row r="42" spans="1:10" ht="15.65" customHeight="1">
      <c r="I42" s="90">
        <v>46064</v>
      </c>
      <c r="J42" t="s">
        <v>480</v>
      </c>
    </row>
    <row r="43" spans="1:10" ht="15.65" customHeight="1">
      <c r="I43" s="90">
        <v>46076</v>
      </c>
      <c r="J43" t="s">
        <v>413</v>
      </c>
    </row>
    <row r="44" spans="1:10" ht="15.65" customHeight="1">
      <c r="I44" s="90">
        <v>46101</v>
      </c>
      <c r="J44" t="s">
        <v>414</v>
      </c>
    </row>
    <row r="45" spans="1:10" ht="15.65" customHeight="1">
      <c r="I45" s="90"/>
    </row>
    <row r="46" spans="1:10" ht="15.65" customHeight="1">
      <c r="I46" s="90"/>
    </row>
    <row r="47" spans="1:10" ht="15.65" customHeight="1"/>
    <row r="48" spans="1:10" ht="15.65" customHeight="1"/>
    <row r="49" spans="9:9" ht="15.65" customHeight="1"/>
    <row r="50" spans="9:9" ht="15.65" customHeight="1"/>
    <row r="51" spans="9:9" ht="15.65" customHeight="1"/>
    <row r="52" spans="9:9" ht="15.65" customHeight="1"/>
    <row r="53" spans="9:9" ht="15.65" customHeight="1"/>
    <row r="54" spans="9:9" ht="15.65" customHeight="1"/>
    <row r="55" spans="9:9" ht="15.65" customHeight="1"/>
    <row r="56" spans="9:9" ht="15.65" customHeight="1"/>
    <row r="57" spans="9:9" ht="15.65" customHeight="1"/>
    <row r="58" spans="9:9" ht="15.65" customHeight="1"/>
    <row r="59" spans="9:9" ht="15.65" customHeight="1"/>
    <row r="60" spans="9:9" ht="15.65" customHeight="1">
      <c r="I60" s="90"/>
    </row>
    <row r="61" spans="9:9" ht="15.65" customHeight="1">
      <c r="I61" s="90"/>
    </row>
    <row r="62" spans="9:9" ht="15.65" customHeight="1">
      <c r="I62" s="90"/>
    </row>
    <row r="63" spans="9:9" ht="15.65" customHeight="1">
      <c r="I63" s="90"/>
    </row>
    <row r="64" spans="9:9" ht="15.65" customHeight="1">
      <c r="I64" s="90"/>
    </row>
    <row r="65" spans="9:9" ht="15.65" customHeight="1">
      <c r="I65" s="90"/>
    </row>
    <row r="66" spans="9:9" ht="15.65" customHeight="1">
      <c r="I66" s="90"/>
    </row>
    <row r="67" spans="9:9" ht="15.65" customHeight="1"/>
    <row r="68" spans="9:9" ht="15.65" customHeight="1"/>
    <row r="69" spans="9:9" ht="15.65" customHeight="1"/>
    <row r="70" spans="9:9" ht="15.65" customHeight="1"/>
    <row r="71" spans="9:9" ht="15.65" customHeight="1"/>
    <row r="72" spans="9:9" ht="15.65" customHeight="1"/>
    <row r="73" spans="9:9" ht="15.65" customHeight="1"/>
    <row r="74" spans="9:9" ht="15.65" customHeight="1"/>
    <row r="75" spans="9:9" ht="15.65" customHeight="1"/>
    <row r="76" spans="9:9" ht="15.65" customHeight="1"/>
    <row r="77" spans="9:9" ht="15.65" customHeight="1"/>
    <row r="78" spans="9:9" ht="15.65" customHeight="1"/>
    <row r="79" spans="9:9" ht="15.65" customHeight="1"/>
    <row r="80" spans="9:9" ht="15.65" customHeight="1"/>
    <row r="81" ht="15.65" customHeight="1"/>
    <row r="82" ht="15.65" customHeight="1"/>
    <row r="83" ht="15.65" customHeight="1"/>
    <row r="84" ht="15.65" customHeight="1"/>
    <row r="85" ht="15.65" customHeight="1"/>
    <row r="86" ht="15.65" customHeight="1"/>
    <row r="87" ht="15.65" customHeight="1"/>
    <row r="88" ht="15.65" customHeight="1"/>
    <row r="89" ht="15.65" customHeight="1"/>
    <row r="90" ht="15.65" customHeight="1"/>
    <row r="91" ht="15.65" customHeight="1"/>
    <row r="92" ht="15.65" customHeight="1"/>
    <row r="93" ht="15.65" customHeight="1"/>
    <row r="94" ht="15.65" customHeight="1"/>
    <row r="95" ht="15.65" customHeight="1"/>
    <row r="96" ht="15.65" customHeight="1"/>
    <row r="97" ht="15.65" customHeight="1"/>
    <row r="98" ht="15.65" customHeight="1"/>
    <row r="99" ht="15.65" customHeight="1"/>
    <row r="100" ht="15.65" customHeight="1"/>
    <row r="101" ht="15.65" customHeight="1"/>
    <row r="102" ht="15.65" customHeight="1"/>
    <row r="103" ht="15.65" customHeight="1"/>
    <row r="104" ht="15.65" customHeight="1"/>
  </sheetData>
  <mergeCells count="1">
    <mergeCell ref="A1:B1"/>
  </mergeCells>
  <phoneticPr fontId="6"/>
  <conditionalFormatting sqref="A3:A40 C3:C40">
    <cfRule type="expression" dxfId="94" priority="2">
      <formula>A3&lt;TODAY()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pageSetUpPr fitToPage="1"/>
  </sheetPr>
  <dimension ref="B1:L92"/>
  <sheetViews>
    <sheetView showGridLines="0" tabSelected="1" zoomScale="90" zoomScaleNormal="90" workbookViewId="0"/>
  </sheetViews>
  <sheetFormatPr defaultColWidth="8.7265625" defaultRowHeight="19"/>
  <cols>
    <col min="1" max="1" width="1" style="143" customWidth="1"/>
    <col min="2" max="11" width="8.7265625" style="143"/>
    <col min="12" max="12" width="10.26953125" style="143" customWidth="1"/>
    <col min="13" max="16384" width="8.7265625" style="143"/>
  </cols>
  <sheetData>
    <row r="1" spans="2:12">
      <c r="B1" s="142" t="s">
        <v>215</v>
      </c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2:12">
      <c r="B2" s="143" t="s">
        <v>216</v>
      </c>
    </row>
    <row r="3" spans="2:12">
      <c r="B3" s="143" t="s">
        <v>217</v>
      </c>
    </row>
    <row r="4" spans="2:12">
      <c r="B4" s="144" t="s">
        <v>370</v>
      </c>
    </row>
    <row r="5" spans="2:12">
      <c r="B5" s="143" t="s">
        <v>228</v>
      </c>
    </row>
    <row r="6" spans="2:12">
      <c r="B6" s="143" t="s">
        <v>371</v>
      </c>
    </row>
    <row r="28" spans="2:2">
      <c r="B28" s="144" t="s">
        <v>222</v>
      </c>
    </row>
    <row r="29" spans="2:2">
      <c r="B29" s="144" t="s">
        <v>223</v>
      </c>
    </row>
    <row r="30" spans="2:2">
      <c r="B30" s="143" t="s">
        <v>351</v>
      </c>
    </row>
    <row r="46" spans="2:2">
      <c r="B46" s="144" t="s">
        <v>372</v>
      </c>
    </row>
    <row r="47" spans="2:2">
      <c r="B47" s="144" t="s">
        <v>218</v>
      </c>
    </row>
    <row r="64" spans="2:2">
      <c r="B64" s="143" t="s">
        <v>224</v>
      </c>
    </row>
    <row r="65" spans="2:2">
      <c r="B65" s="143" t="s">
        <v>347</v>
      </c>
    </row>
    <row r="82" spans="2:2" ht="8.15" customHeight="1"/>
    <row r="83" spans="2:2">
      <c r="B83" s="143" t="s">
        <v>225</v>
      </c>
    </row>
    <row r="84" spans="2:2">
      <c r="B84" s="144" t="s">
        <v>226</v>
      </c>
    </row>
    <row r="85" spans="2:2">
      <c r="B85" s="143" t="s">
        <v>219</v>
      </c>
    </row>
    <row r="86" spans="2:2">
      <c r="B86" s="143" t="s">
        <v>252</v>
      </c>
    </row>
    <row r="87" spans="2:2">
      <c r="B87" s="143" t="s">
        <v>220</v>
      </c>
    </row>
    <row r="88" spans="2:2">
      <c r="B88" s="143" t="s">
        <v>227</v>
      </c>
    </row>
    <row r="89" spans="2:2">
      <c r="B89" s="143" t="s">
        <v>274</v>
      </c>
    </row>
    <row r="90" spans="2:2">
      <c r="B90" s="193" t="s">
        <v>462</v>
      </c>
    </row>
    <row r="91" spans="2:2">
      <c r="B91" s="193" t="s">
        <v>463</v>
      </c>
    </row>
    <row r="92" spans="2:2">
      <c r="B92" s="143" t="s">
        <v>221</v>
      </c>
    </row>
  </sheetData>
  <sheetProtection algorithmName="SHA-512" hashValue="qygzocOYxSSY5xejqIz0sQyp1wWzudVp15McIpHlIJ058ZdFPY1Swi1AyTbnZ8O6YN07uJxAtPvy/kHLahCLxw==" saltValue="k/Bd3YDcByoKA/mKV7wIVw==" spinCount="100000" sheet="1" objects="1" scenarios="1"/>
  <phoneticPr fontId="6"/>
  <printOptions horizontalCentered="1"/>
  <pageMargins left="0.70866141732283472" right="0.11811023622047245" top="0.74803149606299213" bottom="0.15748031496062992" header="0.31496062992125984" footer="0.31496062992125984"/>
  <pageSetup paperSize="9" scale="89" fitToHeight="0" orientation="portrait" horizontalDpi="1200" verticalDpi="1200" r:id="rId1"/>
  <headerFooter>
    <oddHeader>&amp;L&amp;"ＭＳ Ｐゴシック,太字"&amp;14&amp;A  &amp;P&amp;R&amp;"ＭＳ Ｐゴシック,太字"&amp;14&amp;P</oddHeader>
  </headerFooter>
  <rowBreaks count="1" manualBreakCount="1">
    <brk id="4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U67"/>
  <sheetViews>
    <sheetView showGridLines="0" zoomScale="87" zoomScaleNormal="87" zoomScaleSheetLayoutView="100" workbookViewId="0">
      <selection activeCell="A2" sqref="A2"/>
    </sheetView>
  </sheetViews>
  <sheetFormatPr defaultColWidth="8.7265625" defaultRowHeight="13"/>
  <cols>
    <col min="1" max="1" width="2.90625" style="114" customWidth="1"/>
    <col min="2" max="2" width="14.36328125" style="114" customWidth="1"/>
    <col min="3" max="3" width="2.7265625" style="114" customWidth="1"/>
    <col min="4" max="4" width="44.7265625" style="114" customWidth="1"/>
    <col min="5" max="5" width="14.6328125" style="114" bestFit="1" customWidth="1"/>
    <col min="6" max="6" width="14.6328125" style="114" customWidth="1"/>
    <col min="7" max="7" width="16.7265625" style="114" customWidth="1"/>
    <col min="8" max="10" width="12.7265625" style="114" customWidth="1"/>
    <col min="11" max="11" width="4.453125" style="114" customWidth="1"/>
    <col min="12" max="12" width="9.7265625" style="276" hidden="1" customWidth="1"/>
    <col min="13" max="13" width="5.6328125" style="266" hidden="1" customWidth="1"/>
    <col min="14" max="14" width="9.6328125" style="266" hidden="1" customWidth="1"/>
    <col min="15" max="15" width="14.453125" style="266" hidden="1" customWidth="1"/>
    <col min="16" max="16" width="5.08984375" style="267" hidden="1" customWidth="1"/>
    <col min="17" max="18" width="5.08984375" style="255" hidden="1" customWidth="1"/>
    <col min="19" max="20" width="5.08984375" hidden="1" customWidth="1"/>
    <col min="21" max="21" width="2.7265625" hidden="1" customWidth="1"/>
    <col min="22" max="22" width="5.08984375" customWidth="1"/>
  </cols>
  <sheetData>
    <row r="1" spans="1:20" ht="3" customHeight="1">
      <c r="A1" s="1"/>
      <c r="B1" s="1"/>
      <c r="C1" s="1"/>
      <c r="D1" s="1"/>
      <c r="E1" s="1"/>
      <c r="F1" s="1"/>
      <c r="G1" s="1"/>
      <c r="H1" s="2"/>
      <c r="I1" s="3"/>
      <c r="J1" s="3"/>
      <c r="K1" s="4"/>
      <c r="L1" s="265"/>
    </row>
    <row r="2" spans="1:20" ht="37.15" customHeight="1">
      <c r="A2" s="110"/>
      <c r="B2" s="475" t="s">
        <v>250</v>
      </c>
      <c r="C2" s="475"/>
      <c r="D2" s="475"/>
      <c r="E2" s="475"/>
      <c r="F2" s="475"/>
      <c r="G2" s="475"/>
      <c r="H2" s="475"/>
      <c r="I2" s="475"/>
      <c r="J2" s="475"/>
      <c r="K2" s="106"/>
      <c r="L2" s="268" t="s">
        <v>243</v>
      </c>
      <c r="M2" s="269"/>
      <c r="N2" s="269"/>
      <c r="O2" s="269"/>
      <c r="P2" s="270"/>
      <c r="Q2" s="271"/>
      <c r="R2" s="271"/>
      <c r="S2" s="453"/>
      <c r="T2" s="453"/>
    </row>
    <row r="3" spans="1:20" ht="6.65" customHeight="1">
      <c r="A3" s="1"/>
      <c r="B3" s="1"/>
      <c r="C3" s="1"/>
      <c r="D3" s="1"/>
      <c r="E3" s="1"/>
      <c r="F3" s="1"/>
      <c r="G3" s="1"/>
      <c r="H3" s="2"/>
      <c r="I3" s="3"/>
      <c r="J3" s="3"/>
      <c r="K3" s="4"/>
      <c r="L3" s="265"/>
    </row>
    <row r="4" spans="1:20" ht="22">
      <c r="A4" s="5"/>
      <c r="B4" s="6" t="s">
        <v>415</v>
      </c>
      <c r="C4" s="6"/>
      <c r="D4" s="7"/>
      <c r="E4" s="8"/>
      <c r="F4" s="8"/>
      <c r="G4" s="8"/>
      <c r="H4" s="8"/>
      <c r="I4" s="8"/>
      <c r="K4" s="9"/>
      <c r="L4" s="272"/>
    </row>
    <row r="5" spans="1:20" ht="9" customHeight="1">
      <c r="A5" s="5"/>
      <c r="B5" s="10"/>
      <c r="C5" s="11"/>
      <c r="D5" s="8"/>
      <c r="E5" s="8"/>
      <c r="F5" s="8"/>
      <c r="G5" s="8"/>
      <c r="H5" s="8"/>
      <c r="I5" s="8"/>
      <c r="J5" s="8"/>
      <c r="K5" s="9"/>
      <c r="L5" s="272"/>
    </row>
    <row r="6" spans="1:20" ht="16">
      <c r="A6" s="12"/>
      <c r="B6" s="13" t="s">
        <v>0</v>
      </c>
      <c r="C6" s="12"/>
      <c r="D6" s="12"/>
      <c r="E6" s="12"/>
      <c r="F6" s="12"/>
      <c r="G6" s="12"/>
      <c r="H6" s="12"/>
      <c r="I6" s="12"/>
      <c r="J6" s="12"/>
      <c r="K6" s="12"/>
      <c r="L6" s="273"/>
    </row>
    <row r="7" spans="1:20" ht="16">
      <c r="A7" s="12"/>
      <c r="B7" s="13" t="s">
        <v>33</v>
      </c>
      <c r="C7" s="12"/>
      <c r="D7" s="12"/>
      <c r="E7" s="12"/>
      <c r="F7" s="12"/>
      <c r="G7" s="12"/>
      <c r="H7" s="12"/>
      <c r="I7" s="12"/>
      <c r="J7" s="12"/>
      <c r="K7" s="12"/>
      <c r="L7" s="273"/>
    </row>
    <row r="8" spans="1:20" ht="16">
      <c r="A8" s="12"/>
      <c r="B8" s="13" t="s">
        <v>416</v>
      </c>
      <c r="C8" s="12"/>
      <c r="D8" s="12"/>
      <c r="E8" s="12"/>
      <c r="F8" s="12"/>
      <c r="G8" s="12"/>
      <c r="H8" s="12"/>
      <c r="I8" s="12"/>
      <c r="J8" s="12"/>
      <c r="K8" s="12"/>
      <c r="L8" s="273"/>
    </row>
    <row r="9" spans="1:20" ht="11.15" customHeight="1" thickBot="1">
      <c r="A9" s="12"/>
      <c r="B9" s="13"/>
      <c r="C9" s="12"/>
      <c r="D9" s="12"/>
      <c r="E9" s="12"/>
      <c r="F9" s="12"/>
      <c r="G9" s="12"/>
      <c r="H9" s="12"/>
      <c r="I9" s="12"/>
      <c r="J9" s="12"/>
      <c r="K9" s="12"/>
      <c r="L9" s="267" t="s">
        <v>194</v>
      </c>
    </row>
    <row r="10" spans="1:20" ht="19.5" customHeight="1" thickTop="1" thickBot="1">
      <c r="A10" s="12"/>
      <c r="B10" s="478" t="s">
        <v>1</v>
      </c>
      <c r="C10" s="479"/>
      <c r="D10" s="480"/>
      <c r="E10" s="474" t="s">
        <v>195</v>
      </c>
      <c r="F10" s="474"/>
      <c r="G10" s="474"/>
      <c r="H10" s="474"/>
      <c r="I10" s="474"/>
      <c r="J10" s="474"/>
      <c r="K10" s="12"/>
      <c r="L10" s="273">
        <f>10-L11</f>
        <v>10</v>
      </c>
    </row>
    <row r="11" spans="1:20" ht="16" thickTop="1" thickBot="1">
      <c r="A11" s="12"/>
      <c r="B11" s="481" t="s">
        <v>2</v>
      </c>
      <c r="C11" s="483"/>
      <c r="D11" s="483"/>
      <c r="E11" s="474"/>
      <c r="F11" s="474"/>
      <c r="G11" s="474"/>
      <c r="H11" s="474"/>
      <c r="I11" s="474"/>
      <c r="J11" s="474"/>
      <c r="K11" s="12"/>
      <c r="L11" s="274">
        <f>COUNTIF(L13:M24,"OK")</f>
        <v>0</v>
      </c>
      <c r="M11" s="275" t="str">
        <f>M13&amp;" "&amp;N16&amp;" "&amp;O16&amp;" "&amp;N18&amp;" "&amp;N20&amp;" "&amp;N22&amp;" "&amp;O22&amp;" "&amp;" "&amp;O23&amp;" "&amp;N24</f>
        <v>同意可否 記入日 受講開始日 所在地 会社名 部署名 ご担当者名  E-mail 緊急連絡先</v>
      </c>
    </row>
    <row r="12" spans="1:20" ht="19.5" customHeight="1" thickTop="1" thickBot="1">
      <c r="A12" s="12"/>
      <c r="B12" s="482"/>
      <c r="C12" s="483"/>
      <c r="D12" s="483"/>
      <c r="E12" s="474"/>
      <c r="F12" s="474"/>
      <c r="G12" s="474"/>
      <c r="H12" s="474"/>
      <c r="I12" s="474"/>
      <c r="J12" s="474"/>
      <c r="K12" s="12"/>
      <c r="L12" s="276">
        <f>IF(OR(L11=0,L11=10),0,1)</f>
        <v>0</v>
      </c>
    </row>
    <row r="13" spans="1:20" ht="24" customHeight="1" thickTop="1">
      <c r="A13" s="12"/>
      <c r="B13" s="484" t="s">
        <v>404</v>
      </c>
      <c r="C13" s="485"/>
      <c r="D13" s="485"/>
      <c r="E13" s="476" t="str">
        <f>IF(L11=10,"","未入力の必須入力項目が "&amp;L10&amp;" 項目あります")</f>
        <v>未入力の必須入力項目が 10 項目あります</v>
      </c>
      <c r="F13" s="476"/>
      <c r="G13" s="476"/>
      <c r="H13" s="476"/>
      <c r="I13" s="476"/>
      <c r="J13" s="476"/>
      <c r="K13" s="12"/>
      <c r="L13" s="108" t="str">
        <f>IF(C11="","必須","OK")</f>
        <v>必須</v>
      </c>
      <c r="M13" s="269" t="str">
        <f>IF(L13&lt;&gt;"OK","同意可否","")</f>
        <v>同意可否</v>
      </c>
    </row>
    <row r="14" spans="1:20" ht="24" customHeight="1">
      <c r="A14" s="12"/>
      <c r="B14" s="484" t="s">
        <v>405</v>
      </c>
      <c r="C14" s="484"/>
      <c r="D14" s="484"/>
      <c r="E14" s="477" t="str">
        <f>"入力必須="&amp;M11</f>
        <v>入力必須=同意可否 記入日 受講開始日 所在地 会社名 部署名 ご担当者名  E-mail 緊急連絡先</v>
      </c>
      <c r="F14" s="477"/>
      <c r="G14" s="477"/>
      <c r="H14" s="477"/>
      <c r="I14" s="477"/>
      <c r="J14" s="477"/>
      <c r="K14" s="9"/>
    </row>
    <row r="15" spans="1:20" ht="34.5" customHeight="1" thickBot="1">
      <c r="A15" s="5"/>
      <c r="B15" s="14" t="s">
        <v>197</v>
      </c>
      <c r="C15" s="14"/>
      <c r="D15" s="5"/>
      <c r="E15" s="512" t="s">
        <v>369</v>
      </c>
      <c r="F15" s="512"/>
      <c r="G15" s="512"/>
      <c r="H15" s="512"/>
      <c r="I15" s="512"/>
      <c r="J15" s="358" t="str">
        <f>IF(OR(P23&lt;&gt;0,R27&lt;&gt;0),"エラー有","OK")</f>
        <v>OK</v>
      </c>
      <c r="K15" s="5"/>
      <c r="L15" s="108"/>
    </row>
    <row r="16" spans="1:20" ht="30.65" customHeight="1" thickTop="1">
      <c r="A16" s="4"/>
      <c r="B16" s="15" t="s">
        <v>251</v>
      </c>
      <c r="C16" s="506"/>
      <c r="D16" s="507"/>
      <c r="E16" s="148" t="s">
        <v>230</v>
      </c>
      <c r="F16" s="503"/>
      <c r="G16" s="504"/>
      <c r="H16" s="504"/>
      <c r="I16" s="504"/>
      <c r="J16" s="505"/>
      <c r="K16" s="4"/>
      <c r="L16" s="108" t="str">
        <f>IF(C16="","必須","OK")</f>
        <v>必須</v>
      </c>
      <c r="M16" s="108" t="str">
        <f>IF(F16="","必須","OK")</f>
        <v>必須</v>
      </c>
      <c r="N16" s="269" t="str">
        <f>IF(L16&lt;&gt;"OK","記入日","")</f>
        <v>記入日</v>
      </c>
      <c r="O16" s="269" t="str">
        <f>IF(M16&lt;&gt;"OK","受講開始日","")</f>
        <v>受講開始日</v>
      </c>
    </row>
    <row r="17" spans="1:18" ht="19.5">
      <c r="A17" s="4"/>
      <c r="B17" s="513" t="s">
        <v>198</v>
      </c>
      <c r="C17" s="196" t="s">
        <v>4</v>
      </c>
      <c r="D17" s="356"/>
      <c r="E17" s="194"/>
      <c r="F17" s="195"/>
      <c r="G17" s="518" t="s">
        <v>12</v>
      </c>
      <c r="H17" s="519"/>
      <c r="I17" s="519"/>
      <c r="J17" s="520"/>
      <c r="K17" s="4"/>
      <c r="L17" s="265"/>
    </row>
    <row r="18" spans="1:18" ht="48" customHeight="1">
      <c r="A18" s="4"/>
      <c r="B18" s="513"/>
      <c r="C18" s="517"/>
      <c r="D18" s="493"/>
      <c r="E18" s="493"/>
      <c r="F18" s="494"/>
      <c r="G18" s="498"/>
      <c r="H18" s="521"/>
      <c r="I18" s="521"/>
      <c r="J18" s="522"/>
      <c r="K18" s="4"/>
      <c r="L18" s="108" t="str">
        <f>IF(C18="","必須","OK")</f>
        <v>必須</v>
      </c>
      <c r="N18" s="269" t="str">
        <f>IF(L18&lt;&gt;"OK","所在地","")</f>
        <v>所在地</v>
      </c>
    </row>
    <row r="19" spans="1:18" ht="19.5">
      <c r="A19" s="4"/>
      <c r="B19" s="94" t="s">
        <v>3</v>
      </c>
      <c r="C19" s="517"/>
      <c r="D19" s="493"/>
      <c r="E19" s="493"/>
      <c r="F19" s="494"/>
      <c r="G19" s="117" t="s">
        <v>5</v>
      </c>
      <c r="H19" s="495"/>
      <c r="I19" s="493"/>
      <c r="J19" s="496"/>
      <c r="K19" s="4"/>
      <c r="L19" s="265"/>
    </row>
    <row r="20" spans="1:18" ht="48" customHeight="1">
      <c r="A20" s="4"/>
      <c r="B20" s="94" t="s">
        <v>6</v>
      </c>
      <c r="C20" s="491"/>
      <c r="D20" s="492"/>
      <c r="E20" s="493"/>
      <c r="F20" s="494"/>
      <c r="G20" s="117" t="s">
        <v>7</v>
      </c>
      <c r="H20" s="495"/>
      <c r="I20" s="493"/>
      <c r="J20" s="496"/>
      <c r="K20" s="4"/>
      <c r="L20" s="108" t="str">
        <f>IF(C20="","必須","OK")</f>
        <v>必須</v>
      </c>
      <c r="N20" s="269" t="str">
        <f>IF(L20&lt;&gt;"OK","会社名","")</f>
        <v>会社名</v>
      </c>
    </row>
    <row r="21" spans="1:18" ht="19.5">
      <c r="A21" s="4"/>
      <c r="B21" s="94" t="s">
        <v>3</v>
      </c>
      <c r="C21" s="523"/>
      <c r="D21" s="524"/>
      <c r="E21" s="497" t="s">
        <v>32</v>
      </c>
      <c r="F21" s="537"/>
      <c r="G21" s="117" t="s">
        <v>5</v>
      </c>
      <c r="H21" s="495"/>
      <c r="I21" s="493"/>
      <c r="J21" s="496"/>
      <c r="K21" s="4"/>
      <c r="L21" s="265"/>
    </row>
    <row r="22" spans="1:18" ht="48" customHeight="1">
      <c r="A22" s="4"/>
      <c r="B22" s="94" t="s">
        <v>8</v>
      </c>
      <c r="C22" s="523"/>
      <c r="D22" s="524"/>
      <c r="E22" s="498"/>
      <c r="F22" s="538"/>
      <c r="G22" s="117" t="s">
        <v>9</v>
      </c>
      <c r="H22" s="495"/>
      <c r="I22" s="493"/>
      <c r="J22" s="496"/>
      <c r="K22" s="4"/>
      <c r="L22" s="108" t="str">
        <f>IF(C22="","必須","OK")</f>
        <v>必須</v>
      </c>
      <c r="M22" s="108" t="str">
        <f>IF(H22="","必須","OK")</f>
        <v>必須</v>
      </c>
      <c r="N22" s="269" t="str">
        <f>IF(L22&lt;&gt;"OK","部署名","")</f>
        <v>部署名</v>
      </c>
      <c r="O22" s="269" t="str">
        <f>IF(M22&lt;&gt;"OK","ご担当者名","")</f>
        <v>ご担当者名</v>
      </c>
    </row>
    <row r="23" spans="1:18" ht="48" customHeight="1">
      <c r="A23" s="4"/>
      <c r="B23" s="94" t="s">
        <v>10</v>
      </c>
      <c r="C23" s="508"/>
      <c r="D23" s="509"/>
      <c r="E23" s="118" t="s">
        <v>11</v>
      </c>
      <c r="F23" s="510"/>
      <c r="G23" s="511"/>
      <c r="H23" s="511"/>
      <c r="I23" s="511"/>
      <c r="J23" s="454" t="str">
        <f>IF(F23&lt;&gt;"",AND(IFERROR(FIND(".",F23),FALSE),IFERROR(FIND(".",F23,FIND("@",F23)),FALSE)),"")</f>
        <v/>
      </c>
      <c r="K23" s="245"/>
      <c r="L23" s="108" t="str">
        <f>IF(C23="","必須","OK")</f>
        <v>必須</v>
      </c>
      <c r="M23" s="108" t="str">
        <f>IF(F23="","必須","OK")</f>
        <v>必須</v>
      </c>
      <c r="N23" s="269">
        <f>IF(LEFT(C23,1)="0",1,0)</f>
        <v>0</v>
      </c>
      <c r="O23" s="269" t="str">
        <f>IF(M23&lt;&gt;"OK","E-mail","")</f>
        <v>E-mail</v>
      </c>
      <c r="P23" s="357">
        <f>IF(AND(C23&lt;&gt;"",LEFT(Q23,1)&lt;&gt;"0"),1,0)</f>
        <v>0</v>
      </c>
      <c r="Q23" s="277" t="str">
        <f>IF(C23&lt;&gt;"",TEXT(C23,"#"),"")</f>
        <v/>
      </c>
    </row>
    <row r="24" spans="1:18" ht="48" customHeight="1" thickBot="1">
      <c r="A24" s="4"/>
      <c r="B24" s="16" t="s">
        <v>229</v>
      </c>
      <c r="C24" s="487"/>
      <c r="D24" s="488"/>
      <c r="E24" s="119" t="s">
        <v>35</v>
      </c>
      <c r="F24" s="514"/>
      <c r="G24" s="514"/>
      <c r="H24" s="514"/>
      <c r="I24" s="514"/>
      <c r="J24" s="515"/>
      <c r="K24" s="4"/>
      <c r="L24" s="108" t="str">
        <f>IF(C24="","必須","OK")</f>
        <v>必須</v>
      </c>
      <c r="N24" s="269" t="str">
        <f>IF(L24&lt;&gt;"OK","緊急連絡先","")</f>
        <v>緊急連絡先</v>
      </c>
      <c r="P24" s="267">
        <f>IF(AND(C24&lt;&gt;"",LEFT(Q24,1)&lt;&gt;"0"),1,0)</f>
        <v>0</v>
      </c>
      <c r="Q24" s="277" t="str">
        <f>IF(C24&lt;&gt;"",TEXT(C24,"#"),"")</f>
        <v/>
      </c>
    </row>
    <row r="25" spans="1:18" ht="10.5" customHeight="1" thickTop="1">
      <c r="A25" s="4"/>
      <c r="B25" s="17"/>
      <c r="C25" s="17"/>
      <c r="D25" s="4"/>
      <c r="E25" s="4"/>
      <c r="F25" s="525" t="str">
        <f>IF(J23=FALSE,"ご担当者のメルアドを入力して下さい","")</f>
        <v/>
      </c>
      <c r="G25" s="525"/>
      <c r="H25" s="525"/>
      <c r="I25" s="525"/>
      <c r="J25" s="525"/>
      <c r="K25" s="4"/>
      <c r="L25" s="265"/>
    </row>
    <row r="26" spans="1:18" ht="8.65" customHeight="1">
      <c r="A26" s="4"/>
      <c r="B26" s="17"/>
      <c r="C26" s="17"/>
      <c r="D26" s="4"/>
      <c r="E26" s="4"/>
      <c r="F26" s="526"/>
      <c r="G26" s="526"/>
      <c r="H26" s="526"/>
      <c r="I26" s="526"/>
      <c r="J26" s="526"/>
      <c r="K26" s="4"/>
      <c r="L26" s="265"/>
    </row>
    <row r="27" spans="1:18" ht="15" customHeight="1">
      <c r="A27" s="4"/>
      <c r="B27" s="14" t="s">
        <v>13</v>
      </c>
      <c r="C27" s="18"/>
      <c r="D27" s="4"/>
      <c r="E27" s="4"/>
      <c r="F27" s="4"/>
      <c r="G27" s="4"/>
      <c r="H27" s="4"/>
      <c r="I27" s="4"/>
      <c r="J27" s="4"/>
      <c r="K27" s="4"/>
      <c r="L27" s="278" t="e">
        <f>SUM(N27:O27)</f>
        <v>#VALUE!</v>
      </c>
      <c r="M27" s="267"/>
      <c r="N27" s="279" t="e">
        <f>IF(FIND(".",$F$23),0,1)</f>
        <v>#VALUE!</v>
      </c>
      <c r="O27" s="279" t="e">
        <f>IF(FIND(".",$F$23,FIND("@",$F$23)),0,1)</f>
        <v>#VALUE!</v>
      </c>
      <c r="P27" s="270">
        <f>LEN(F23)</f>
        <v>0</v>
      </c>
      <c r="Q27" s="280">
        <f>LENB(F23)</f>
        <v>0</v>
      </c>
      <c r="R27" s="255">
        <f>P27-Q27</f>
        <v>0</v>
      </c>
    </row>
    <row r="28" spans="1:18" ht="15" customHeight="1" thickBot="1">
      <c r="A28" s="19"/>
      <c r="B28" s="43"/>
      <c r="C28" s="39"/>
      <c r="D28" s="39"/>
      <c r="E28" s="528"/>
      <c r="F28" s="528"/>
      <c r="G28" s="528"/>
      <c r="H28" s="527"/>
      <c r="I28" s="516" t="s">
        <v>16</v>
      </c>
      <c r="J28" s="489" t="s">
        <v>17</v>
      </c>
      <c r="K28" s="4"/>
      <c r="L28" s="265"/>
    </row>
    <row r="29" spans="1:18" ht="15" customHeight="1" thickBot="1">
      <c r="A29" s="19"/>
      <c r="B29" s="45"/>
      <c r="C29" s="44" t="s">
        <v>42</v>
      </c>
      <c r="D29" s="39" t="s">
        <v>177</v>
      </c>
      <c r="E29" s="528"/>
      <c r="F29" s="528"/>
      <c r="G29" s="528"/>
      <c r="H29" s="528"/>
      <c r="I29" s="516"/>
      <c r="J29" s="490"/>
      <c r="K29" s="4"/>
      <c r="L29" s="265"/>
    </row>
    <row r="30" spans="1:18" ht="43.5" customHeight="1" thickBot="1">
      <c r="A30" s="21"/>
      <c r="B30" s="14"/>
      <c r="C30" s="18"/>
      <c r="D30" s="264">
        <f>SUM(H35:H46)</f>
        <v>0</v>
      </c>
      <c r="E30" s="529" t="s">
        <v>38</v>
      </c>
      <c r="F30" s="529"/>
      <c r="G30" s="529"/>
      <c r="H30" s="192"/>
      <c r="I30" s="86" t="s">
        <v>36</v>
      </c>
      <c r="J30" s="41" t="str">
        <f>IF(D30&gt;0,5000,"")</f>
        <v/>
      </c>
      <c r="K30" s="4"/>
      <c r="L30" s="265"/>
    </row>
    <row r="31" spans="1:18" ht="28.5" customHeight="1">
      <c r="A31" s="21"/>
      <c r="B31" s="14"/>
      <c r="C31" s="18"/>
      <c r="D31" s="442" t="str">
        <f>IF(S33=1,"講座は上から順番に登録願います","")</f>
        <v/>
      </c>
      <c r="E31" s="532" t="str">
        <f>IF(Q32=1,"情報セキュリティの申込人数が不合致です","")</f>
        <v/>
      </c>
      <c r="F31" s="532"/>
      <c r="G31" s="532"/>
      <c r="I31" s="355" t="str">
        <f>IF(J31&lt;&gt;"","調整","")</f>
        <v/>
      </c>
      <c r="J31" s="354"/>
      <c r="K31" s="4"/>
      <c r="L31" s="265"/>
    </row>
    <row r="32" spans="1:18" ht="16.5" customHeight="1">
      <c r="A32" s="21"/>
      <c r="B32" s="191" t="s">
        <v>245</v>
      </c>
      <c r="C32" s="12" t="s">
        <v>178</v>
      </c>
      <c r="D32" s="12"/>
      <c r="E32" s="187" t="s">
        <v>247</v>
      </c>
      <c r="F32" s="40"/>
      <c r="H32" s="187" t="s">
        <v>246</v>
      </c>
      <c r="I32" s="84"/>
      <c r="J32" s="85"/>
      <c r="K32" s="4"/>
      <c r="L32" s="265"/>
      <c r="Q32" s="267">
        <f>IF(Q33&lt;&gt;Q34,1,)</f>
        <v>0</v>
      </c>
    </row>
    <row r="33" spans="1:19" ht="28.5" customHeight="1" thickBot="1">
      <c r="A33" s="19"/>
      <c r="B33" s="173" t="s">
        <v>174</v>
      </c>
      <c r="C33" s="533" t="s">
        <v>14</v>
      </c>
      <c r="D33" s="534"/>
      <c r="E33" s="174" t="s">
        <v>175</v>
      </c>
      <c r="F33" s="70" t="s">
        <v>249</v>
      </c>
      <c r="G33" s="177" t="s">
        <v>15</v>
      </c>
      <c r="H33" s="170" t="s">
        <v>39</v>
      </c>
      <c r="I33" s="172" t="s">
        <v>16</v>
      </c>
      <c r="J33" s="170" t="s">
        <v>17</v>
      </c>
      <c r="K33" s="4"/>
      <c r="L33" s="265"/>
      <c r="Q33" s="281">
        <f>MIN(Q35:Q46)</f>
        <v>0</v>
      </c>
      <c r="S33">
        <f>SUM(S35:S46)</f>
        <v>0</v>
      </c>
    </row>
    <row r="34" spans="1:19" ht="15" hidden="1" customHeight="1" thickBot="1">
      <c r="A34" s="19"/>
      <c r="B34" s="174"/>
      <c r="C34" s="175"/>
      <c r="D34" s="176"/>
      <c r="E34" s="178"/>
      <c r="F34" s="37"/>
      <c r="G34" s="173"/>
      <c r="H34" s="171"/>
      <c r="I34" s="172"/>
      <c r="J34" s="171"/>
      <c r="K34" s="4"/>
      <c r="L34" s="265"/>
      <c r="M34" s="282">
        <f>SUM(M35:M46)</f>
        <v>0</v>
      </c>
      <c r="N34" s="282">
        <f>COUNT(N35:N46)</f>
        <v>0</v>
      </c>
      <c r="Q34" s="283">
        <f>MAX(Q35:Q46)</f>
        <v>0</v>
      </c>
    </row>
    <row r="35" spans="1:19" ht="29.15" customHeight="1" thickTop="1">
      <c r="A35" s="78"/>
      <c r="B35" s="126"/>
      <c r="C35" s="530"/>
      <c r="D35" s="531"/>
      <c r="E35" s="190" t="str">
        <f>IF(C35="","",VLOOKUP(C35,講座一覧!$B:$F,3,FALSE))</f>
        <v/>
      </c>
      <c r="F35" s="235" t="str">
        <f>IF(C35="","",VLOOKUP(C35,講座一覧!$B:$F,4,FALSE))</f>
        <v/>
      </c>
      <c r="G35" s="107" t="str">
        <f>IF(C35="","",IF(P35&lt;&gt;"B",VLOOKUP(C35,講座一覧!$B:$F,5,FALSE),0))</f>
        <v/>
      </c>
      <c r="H35" s="112">
        <f>受講者登録表!F13</f>
        <v>0</v>
      </c>
      <c r="I35" s="20" t="s">
        <v>18</v>
      </c>
      <c r="J35" s="236" t="str">
        <f>IF(OR(C35="",H35=""),"",G35*H35)</f>
        <v/>
      </c>
      <c r="K35" s="4"/>
      <c r="L35" s="284" t="e">
        <f>VLOOKUP(C35,講座一覧!$B:$F,5,FALSE)</f>
        <v>#N/A</v>
      </c>
      <c r="M35" s="266" t="str">
        <f>IFERROR(IF(AND(B35="情報セキュリティ",LEFT(C35,8)="情報セキュリティ"),1,A),"B")</f>
        <v>B</v>
      </c>
      <c r="N35" s="266" t="str">
        <f>IF(M35=1,SUM(M$35:M35),"")</f>
        <v/>
      </c>
      <c r="O35" s="266" t="e">
        <f>MOD(N35,3)</f>
        <v>#VALUE!</v>
      </c>
      <c r="P35" s="285" t="str">
        <f>IFERROR(IF(AND(M35=1,O35=1),"A","B"),"")</f>
        <v/>
      </c>
      <c r="Q35" s="440" t="str">
        <f>IF(M35=1,H35,"")</f>
        <v/>
      </c>
      <c r="R35" s="441">
        <f>IF(C35&lt;&gt;"",ROW(D35),0)</f>
        <v>0</v>
      </c>
      <c r="S35" s="339">
        <f>IF(AND(R35=0,R36&gt;0),1,0)</f>
        <v>0</v>
      </c>
    </row>
    <row r="36" spans="1:19" ht="29.15" customHeight="1">
      <c r="A36" s="78"/>
      <c r="B36" s="127"/>
      <c r="C36" s="499"/>
      <c r="D36" s="500"/>
      <c r="E36" s="111" t="str">
        <f>IF(C36="","",VLOOKUP(C36,講座一覧!$B:$F,3,FALSE))</f>
        <v/>
      </c>
      <c r="F36" s="235" t="str">
        <f>IF(C36="","",VLOOKUP(C36,講座一覧!$B:$F,4,FALSE))</f>
        <v/>
      </c>
      <c r="G36" s="107" t="str">
        <f>IF(C36="","",IF(P36&lt;&gt;"B",VLOOKUP(C36,講座一覧!$B:$F,5,FALSE),0))</f>
        <v/>
      </c>
      <c r="H36" s="113">
        <f>受講者登録表!G13</f>
        <v>0</v>
      </c>
      <c r="I36" s="20" t="s">
        <v>18</v>
      </c>
      <c r="J36" s="237" t="str">
        <f>IF(OR(C36="",H36=""),"",G36*H36)</f>
        <v/>
      </c>
      <c r="K36" s="4"/>
      <c r="L36" s="284" t="e">
        <f>VLOOKUP(C36,講座一覧!$B:$F,5,FALSE)</f>
        <v>#N/A</v>
      </c>
      <c r="M36" s="266" t="str">
        <f>IFERROR(IF(AND(B36="情報セキュリティ",LEFT(C36,8)="情報セキュリティ"),1,A),"B")</f>
        <v>B</v>
      </c>
      <c r="N36" s="266" t="str">
        <f>IF(M36=1,SUM(M$35:M36),"")</f>
        <v/>
      </c>
      <c r="O36" s="266" t="e">
        <f t="shared" ref="O36:O46" si="0">MOD(N36,3)</f>
        <v>#VALUE!</v>
      </c>
      <c r="P36" s="285" t="str">
        <f t="shared" ref="P36:P46" si="1">IFERROR(IF(AND(M36=1,O36=1),"A","B"),"")</f>
        <v/>
      </c>
      <c r="Q36" s="440" t="str">
        <f t="shared" ref="Q36:Q46" si="2">IF(M36=1,H36,"")</f>
        <v/>
      </c>
      <c r="R36" s="441">
        <f t="shared" ref="R36:R46" si="3">IF(C36&lt;&gt;"",ROW(D36),0)</f>
        <v>0</v>
      </c>
      <c r="S36" s="339">
        <f t="shared" ref="S36:S46" si="4">IF(AND(R36=0,R37&gt;0),1,0)</f>
        <v>0</v>
      </c>
    </row>
    <row r="37" spans="1:19" ht="29.15" customHeight="1">
      <c r="A37" s="78"/>
      <c r="B37" s="127"/>
      <c r="C37" s="499"/>
      <c r="D37" s="500"/>
      <c r="E37" s="111" t="str">
        <f>IF(C37="","",VLOOKUP(C37,講座一覧!$B:$F,3,FALSE))</f>
        <v/>
      </c>
      <c r="F37" s="235" t="str">
        <f>IF(C37="","",VLOOKUP(C37,講座一覧!$B:$F,4,FALSE))</f>
        <v/>
      </c>
      <c r="G37" s="107" t="str">
        <f>IF(C37="","",IF(P37&lt;&gt;"B",VLOOKUP(C37,講座一覧!$B:$F,5,FALSE),0))</f>
        <v/>
      </c>
      <c r="H37" s="113">
        <f>受講者登録表!H13</f>
        <v>0</v>
      </c>
      <c r="I37" s="20" t="s">
        <v>18</v>
      </c>
      <c r="J37" s="237" t="str">
        <f t="shared" ref="J37:J46" si="5">IF(OR(C37="",H37=""),"",G37*H37)</f>
        <v/>
      </c>
      <c r="K37" s="4"/>
      <c r="L37" s="284" t="e">
        <f>VLOOKUP(C37,講座一覧!$B:$F,5,FALSE)</f>
        <v>#N/A</v>
      </c>
      <c r="M37" s="266" t="str">
        <f>IFERROR(IF(AND(B37="情報セキュリティ",LEFT(C37,8)="情報セキュリティ"),1,A),"B")</f>
        <v>B</v>
      </c>
      <c r="N37" s="266" t="str">
        <f>IF(M37=1,SUM(M$35:M37),"")</f>
        <v/>
      </c>
      <c r="O37" s="266" t="e">
        <f t="shared" si="0"/>
        <v>#VALUE!</v>
      </c>
      <c r="P37" s="285" t="str">
        <f>IFERROR(IF(AND(M37=1,O37=1),"A","B"),"")</f>
        <v/>
      </c>
      <c r="Q37" s="440" t="str">
        <f t="shared" si="2"/>
        <v/>
      </c>
      <c r="R37" s="441">
        <f t="shared" si="3"/>
        <v>0</v>
      </c>
      <c r="S37" s="339">
        <f t="shared" si="4"/>
        <v>0</v>
      </c>
    </row>
    <row r="38" spans="1:19" ht="29.15" customHeight="1">
      <c r="A38" s="78"/>
      <c r="B38" s="127"/>
      <c r="C38" s="499"/>
      <c r="D38" s="500"/>
      <c r="E38" s="111" t="str">
        <f>IF(C38="","",VLOOKUP(C38,講座一覧!$B:$F,3,FALSE))</f>
        <v/>
      </c>
      <c r="F38" s="235" t="str">
        <f>IF(C38="","",VLOOKUP(C38,講座一覧!$B:$F,4,FALSE))</f>
        <v/>
      </c>
      <c r="G38" s="107" t="str">
        <f>IF(C38="","",IF(P38&lt;&gt;"B",VLOOKUP(C38,講座一覧!$B:$F,5,FALSE),0))</f>
        <v/>
      </c>
      <c r="H38" s="113">
        <f>受講者登録表!I13</f>
        <v>0</v>
      </c>
      <c r="I38" s="20" t="s">
        <v>18</v>
      </c>
      <c r="J38" s="237" t="str">
        <f t="shared" si="5"/>
        <v/>
      </c>
      <c r="K38" s="4"/>
      <c r="L38" s="284" t="e">
        <f>VLOOKUP(C38,講座一覧!$B:$F,5,FALSE)</f>
        <v>#N/A</v>
      </c>
      <c r="M38" s="266" t="str">
        <f>IFERROR(IF(AND(B38="情報セキュリティ",LEFT(C38,8)="情報セキュリティ"),1,A),"B")</f>
        <v>B</v>
      </c>
      <c r="N38" s="266" t="str">
        <f>IF(M38=1,SUM(M$35:M38),"")</f>
        <v/>
      </c>
      <c r="O38" s="266" t="e">
        <f t="shared" si="0"/>
        <v>#VALUE!</v>
      </c>
      <c r="P38" s="285" t="str">
        <f t="shared" si="1"/>
        <v/>
      </c>
      <c r="Q38" s="440" t="str">
        <f t="shared" si="2"/>
        <v/>
      </c>
      <c r="R38" s="441">
        <f t="shared" si="3"/>
        <v>0</v>
      </c>
      <c r="S38" s="339">
        <f t="shared" si="4"/>
        <v>0</v>
      </c>
    </row>
    <row r="39" spans="1:19" ht="29.15" customHeight="1">
      <c r="A39" s="78"/>
      <c r="B39" s="127"/>
      <c r="C39" s="499"/>
      <c r="D39" s="500"/>
      <c r="E39" s="111" t="str">
        <f>IF(C39="","",VLOOKUP(C39,講座一覧!$B:$F,3,FALSE))</f>
        <v/>
      </c>
      <c r="F39" s="235" t="str">
        <f>IF(C39="","",VLOOKUP(C39,講座一覧!$B:$F,4,FALSE))</f>
        <v/>
      </c>
      <c r="G39" s="107" t="str">
        <f>IF(C39="","",IF(P39&lt;&gt;"B",VLOOKUP(C39,講座一覧!$B:$F,5,FALSE),0))</f>
        <v/>
      </c>
      <c r="H39" s="113">
        <f>受講者登録表!J13</f>
        <v>0</v>
      </c>
      <c r="I39" s="20" t="s">
        <v>18</v>
      </c>
      <c r="J39" s="237" t="str">
        <f t="shared" si="5"/>
        <v/>
      </c>
      <c r="K39" s="4"/>
      <c r="L39" s="284" t="e">
        <f>VLOOKUP(C39,講座一覧!$B:$F,5,FALSE)</f>
        <v>#N/A</v>
      </c>
      <c r="M39" s="266" t="str">
        <f>IFERROR(IF(AND(B39="情報セキュリティ",LEFT(C39,8)="情報セキュリティ"),1,A),"B")</f>
        <v>B</v>
      </c>
      <c r="N39" s="266" t="str">
        <f>IF(M39=1,SUM(M$35:M39),"")</f>
        <v/>
      </c>
      <c r="O39" s="266" t="e">
        <f t="shared" si="0"/>
        <v>#VALUE!</v>
      </c>
      <c r="P39" s="285" t="str">
        <f t="shared" si="1"/>
        <v/>
      </c>
      <c r="Q39" s="440" t="str">
        <f t="shared" si="2"/>
        <v/>
      </c>
      <c r="R39" s="441">
        <f t="shared" si="3"/>
        <v>0</v>
      </c>
      <c r="S39" s="339">
        <f t="shared" si="4"/>
        <v>0</v>
      </c>
    </row>
    <row r="40" spans="1:19" ht="29.15" customHeight="1">
      <c r="A40" s="78"/>
      <c r="B40" s="127"/>
      <c r="C40" s="499"/>
      <c r="D40" s="500"/>
      <c r="E40" s="111" t="str">
        <f>IF(C40="","",VLOOKUP(C40,講座一覧!$B:$F,3,FALSE))</f>
        <v/>
      </c>
      <c r="F40" s="235" t="str">
        <f>IF(C40="","",VLOOKUP(C40,講座一覧!$B:$F,4,FALSE))</f>
        <v/>
      </c>
      <c r="G40" s="107" t="str">
        <f>IF(C40="","",IF(P40&lt;&gt;"B",VLOOKUP(C40,講座一覧!$B:$F,5,FALSE),0))</f>
        <v/>
      </c>
      <c r="H40" s="113">
        <f>受講者登録表!K13</f>
        <v>0</v>
      </c>
      <c r="I40" s="20" t="s">
        <v>18</v>
      </c>
      <c r="J40" s="237" t="str">
        <f t="shared" si="5"/>
        <v/>
      </c>
      <c r="K40" s="4"/>
      <c r="L40" s="284" t="e">
        <f>VLOOKUP(C40,講座一覧!$B:$F,5,FALSE)</f>
        <v>#N/A</v>
      </c>
      <c r="M40" s="266" t="str">
        <f>IFERROR(IF(AND(B40="情報セキュリティ",LEFT(C40,8)="情報セキュリティ"),1,A),"B")</f>
        <v>B</v>
      </c>
      <c r="N40" s="266" t="str">
        <f>IF(M40=1,SUM(M$35:M40),"")</f>
        <v/>
      </c>
      <c r="O40" s="266" t="e">
        <f t="shared" si="0"/>
        <v>#VALUE!</v>
      </c>
      <c r="P40" s="285" t="str">
        <f t="shared" si="1"/>
        <v/>
      </c>
      <c r="Q40" s="440" t="str">
        <f t="shared" si="2"/>
        <v/>
      </c>
      <c r="R40" s="441">
        <f t="shared" si="3"/>
        <v>0</v>
      </c>
      <c r="S40" s="339">
        <f t="shared" si="4"/>
        <v>0</v>
      </c>
    </row>
    <row r="41" spans="1:19" ht="29.15" customHeight="1">
      <c r="A41" s="78"/>
      <c r="B41" s="127"/>
      <c r="C41" s="499"/>
      <c r="D41" s="500"/>
      <c r="E41" s="111" t="str">
        <f>IF(C41="","",VLOOKUP(C41,講座一覧!$B:$F,3,FALSE))</f>
        <v/>
      </c>
      <c r="F41" s="235" t="str">
        <f>IF(C41="","",VLOOKUP(C41,講座一覧!$B:$F,4,FALSE))</f>
        <v/>
      </c>
      <c r="G41" s="107" t="str">
        <f>IF(C41="","",IF(P41&lt;&gt;"B",VLOOKUP(C41,講座一覧!$B:$F,5,FALSE),0))</f>
        <v/>
      </c>
      <c r="H41" s="113">
        <f>受講者登録表!L13</f>
        <v>0</v>
      </c>
      <c r="I41" s="20" t="s">
        <v>18</v>
      </c>
      <c r="J41" s="237" t="str">
        <f t="shared" si="5"/>
        <v/>
      </c>
      <c r="K41" s="4"/>
      <c r="L41" s="284" t="e">
        <f>VLOOKUP(C41,講座一覧!$B:$F,5,FALSE)</f>
        <v>#N/A</v>
      </c>
      <c r="M41" s="266" t="str">
        <f>IFERROR(IF(AND(B41="情報セキュリティ",LEFT(C41,8)="情報セキュリティ"),1,A),"B")</f>
        <v>B</v>
      </c>
      <c r="N41" s="266" t="str">
        <f>IF(M41=1,SUM(M$35:M41),"")</f>
        <v/>
      </c>
      <c r="O41" s="266" t="e">
        <f t="shared" si="0"/>
        <v>#VALUE!</v>
      </c>
      <c r="P41" s="285" t="str">
        <f t="shared" si="1"/>
        <v/>
      </c>
      <c r="Q41" s="440" t="str">
        <f t="shared" si="2"/>
        <v/>
      </c>
      <c r="R41" s="441">
        <f t="shared" si="3"/>
        <v>0</v>
      </c>
      <c r="S41" s="339">
        <f t="shared" si="4"/>
        <v>0</v>
      </c>
    </row>
    <row r="42" spans="1:19" ht="29.15" customHeight="1">
      <c r="A42" s="78"/>
      <c r="B42" s="127"/>
      <c r="C42" s="499"/>
      <c r="D42" s="500"/>
      <c r="E42" s="111" t="str">
        <f>IF(C42="","",VLOOKUP(C42,講座一覧!$B:$F,3,FALSE))</f>
        <v/>
      </c>
      <c r="F42" s="235" t="str">
        <f>IF(C42="","",VLOOKUP(C42,講座一覧!$B:$F,4,FALSE))</f>
        <v/>
      </c>
      <c r="G42" s="107" t="str">
        <f>IF(C42="","",IF(P42&lt;&gt;"B",VLOOKUP(C42,講座一覧!$B:$F,5,FALSE),0))</f>
        <v/>
      </c>
      <c r="H42" s="113">
        <f>受講者登録表!M13</f>
        <v>0</v>
      </c>
      <c r="I42" s="20" t="s">
        <v>18</v>
      </c>
      <c r="J42" s="237" t="str">
        <f t="shared" si="5"/>
        <v/>
      </c>
      <c r="K42" s="4"/>
      <c r="L42" s="284" t="e">
        <f>VLOOKUP(C42,講座一覧!$B:$F,5,FALSE)</f>
        <v>#N/A</v>
      </c>
      <c r="M42" s="266" t="str">
        <f>IFERROR(IF(AND(B42="情報セキュリティ",LEFT(C42,8)="情報セキュリティ"),1,A),"B")</f>
        <v>B</v>
      </c>
      <c r="N42" s="266" t="str">
        <f>IF(M42=1,SUM(M$35:M42),"")</f>
        <v/>
      </c>
      <c r="O42" s="266" t="e">
        <f t="shared" si="0"/>
        <v>#VALUE!</v>
      </c>
      <c r="P42" s="285" t="str">
        <f t="shared" si="1"/>
        <v/>
      </c>
      <c r="Q42" s="440" t="str">
        <f t="shared" si="2"/>
        <v/>
      </c>
      <c r="R42" s="441">
        <f t="shared" si="3"/>
        <v>0</v>
      </c>
      <c r="S42" s="339">
        <f t="shared" si="4"/>
        <v>0</v>
      </c>
    </row>
    <row r="43" spans="1:19" ht="29.15" customHeight="1">
      <c r="A43" s="78"/>
      <c r="B43" s="127"/>
      <c r="C43" s="499"/>
      <c r="D43" s="500"/>
      <c r="E43" s="111" t="str">
        <f>IF(C43="","",VLOOKUP(C43,講座一覧!$B:$F,3,FALSE))</f>
        <v/>
      </c>
      <c r="F43" s="235" t="str">
        <f>IF(C43="","",VLOOKUP(C43,講座一覧!$B:$F,4,FALSE))</f>
        <v/>
      </c>
      <c r="G43" s="107" t="str">
        <f>IF(C43="","",IF(P43&lt;&gt;"B",VLOOKUP(C43,講座一覧!$B:$F,5,FALSE),0))</f>
        <v/>
      </c>
      <c r="H43" s="113">
        <f>受講者登録表!N13</f>
        <v>0</v>
      </c>
      <c r="I43" s="20" t="s">
        <v>18</v>
      </c>
      <c r="J43" s="237" t="str">
        <f t="shared" si="5"/>
        <v/>
      </c>
      <c r="K43" s="4"/>
      <c r="L43" s="284" t="e">
        <f>VLOOKUP(C43,講座一覧!$B:$F,5,FALSE)</f>
        <v>#N/A</v>
      </c>
      <c r="M43" s="266" t="str">
        <f>IFERROR(IF(AND(B43="情報セキュリティ",LEFT(C43,8)="情報セキュリティ"),1,A),"B")</f>
        <v>B</v>
      </c>
      <c r="N43" s="266" t="str">
        <f>IF(M43=1,SUM(M$35:M43),"")</f>
        <v/>
      </c>
      <c r="O43" s="266" t="e">
        <f t="shared" si="0"/>
        <v>#VALUE!</v>
      </c>
      <c r="P43" s="285" t="str">
        <f t="shared" si="1"/>
        <v/>
      </c>
      <c r="Q43" s="440" t="str">
        <f t="shared" si="2"/>
        <v/>
      </c>
      <c r="R43" s="441">
        <f t="shared" si="3"/>
        <v>0</v>
      </c>
      <c r="S43" s="339">
        <f t="shared" si="4"/>
        <v>0</v>
      </c>
    </row>
    <row r="44" spans="1:19" ht="29.15" customHeight="1">
      <c r="A44" s="78"/>
      <c r="B44" s="127"/>
      <c r="C44" s="499"/>
      <c r="D44" s="500"/>
      <c r="E44" s="111" t="str">
        <f>IF(C44="","",VLOOKUP(C44,講座一覧!$B:$F,3,FALSE))</f>
        <v/>
      </c>
      <c r="F44" s="235" t="str">
        <f>IF(C44="","",VLOOKUP(C44,講座一覧!$B:$F,4,FALSE))</f>
        <v/>
      </c>
      <c r="G44" s="107" t="str">
        <f>IF(C44="","",IF(P44&lt;&gt;"B",VLOOKUP(C44,講座一覧!$B:$F,5,FALSE),0))</f>
        <v/>
      </c>
      <c r="H44" s="113">
        <f>受講者登録表!O13</f>
        <v>0</v>
      </c>
      <c r="I44" s="20" t="s">
        <v>18</v>
      </c>
      <c r="J44" s="237" t="str">
        <f t="shared" si="5"/>
        <v/>
      </c>
      <c r="K44" s="4"/>
      <c r="L44" s="284" t="e">
        <f>VLOOKUP(C44,講座一覧!$B:$F,5,FALSE)</f>
        <v>#N/A</v>
      </c>
      <c r="M44" s="266" t="str">
        <f>IFERROR(IF(AND(B44="情報セキュリティ",LEFT(C44,8)="情報セキュリティ"),1,A),"B")</f>
        <v>B</v>
      </c>
      <c r="N44" s="266" t="str">
        <f>IF(M44=1,SUM(M$35:M44),"")</f>
        <v/>
      </c>
      <c r="O44" s="266" t="e">
        <f t="shared" si="0"/>
        <v>#VALUE!</v>
      </c>
      <c r="P44" s="285" t="str">
        <f t="shared" si="1"/>
        <v/>
      </c>
      <c r="Q44" s="440" t="str">
        <f t="shared" si="2"/>
        <v/>
      </c>
      <c r="R44" s="441">
        <f t="shared" si="3"/>
        <v>0</v>
      </c>
      <c r="S44" s="339">
        <f t="shared" si="4"/>
        <v>0</v>
      </c>
    </row>
    <row r="45" spans="1:19" ht="29.15" customHeight="1">
      <c r="A45" s="78"/>
      <c r="B45" s="127"/>
      <c r="C45" s="499"/>
      <c r="D45" s="500"/>
      <c r="E45" s="111" t="str">
        <f>IF(C45="","",VLOOKUP(C45,講座一覧!$B:$F,3,FALSE))</f>
        <v/>
      </c>
      <c r="F45" s="235" t="str">
        <f>IF(C45="","",VLOOKUP(C45,講座一覧!$B:$F,4,FALSE))</f>
        <v/>
      </c>
      <c r="G45" s="107" t="str">
        <f>IF(C45="","",IF(P45&lt;&gt;"B",VLOOKUP(C45,講座一覧!$B:$F,5,FALSE),0))</f>
        <v/>
      </c>
      <c r="H45" s="113">
        <f>受講者登録表!P13</f>
        <v>0</v>
      </c>
      <c r="I45" s="20" t="s">
        <v>18</v>
      </c>
      <c r="J45" s="237" t="str">
        <f t="shared" si="5"/>
        <v/>
      </c>
      <c r="K45" s="4"/>
      <c r="L45" s="284" t="e">
        <f>VLOOKUP(C45,講座一覧!$B:$F,5,FALSE)</f>
        <v>#N/A</v>
      </c>
      <c r="M45" s="266" t="str">
        <f>IFERROR(IF(AND(B45="情報セキュリティ",LEFT(C45,8)="情報セキュリティ"),1,A),"B")</f>
        <v>B</v>
      </c>
      <c r="N45" s="266" t="str">
        <f>IF(M45=1,SUM(M$35:M45),"")</f>
        <v/>
      </c>
      <c r="O45" s="266" t="e">
        <f t="shared" si="0"/>
        <v>#VALUE!</v>
      </c>
      <c r="P45" s="285" t="str">
        <f t="shared" si="1"/>
        <v/>
      </c>
      <c r="Q45" s="440" t="str">
        <f t="shared" si="2"/>
        <v/>
      </c>
      <c r="R45" s="441">
        <f t="shared" si="3"/>
        <v>0</v>
      </c>
      <c r="S45" s="339">
        <f t="shared" si="4"/>
        <v>0</v>
      </c>
    </row>
    <row r="46" spans="1:19" ht="29.15" customHeight="1" thickBot="1">
      <c r="A46" s="79"/>
      <c r="B46" s="128"/>
      <c r="C46" s="501"/>
      <c r="D46" s="502"/>
      <c r="E46" s="111" t="str">
        <f>IF(C46="","",VLOOKUP(C46,講座一覧!$B:$F,3,FALSE))</f>
        <v/>
      </c>
      <c r="F46" s="235" t="str">
        <f>IF(C46="","",VLOOKUP(C46,講座一覧!$B:$F,4,FALSE))</f>
        <v/>
      </c>
      <c r="G46" s="107" t="str">
        <f>IF(C46="","",IF(P46&lt;&gt;"B",VLOOKUP(C46,講座一覧!$B:$F,5,FALSE),0))</f>
        <v/>
      </c>
      <c r="H46" s="113">
        <f>受講者登録表!Q13</f>
        <v>0</v>
      </c>
      <c r="I46" s="42" t="s">
        <v>18</v>
      </c>
      <c r="J46" s="237" t="str">
        <f t="shared" si="5"/>
        <v/>
      </c>
      <c r="K46" s="4"/>
      <c r="L46" s="284" t="e">
        <f>VLOOKUP(C46,講座一覧!$B:$F,5,FALSE)</f>
        <v>#N/A</v>
      </c>
      <c r="M46" s="266" t="str">
        <f>IFERROR(IF(AND(B46="情報セキュリティ",LEFT(C46,8)="情報セキュリティ"),1,A),"B")</f>
        <v>B</v>
      </c>
      <c r="N46" s="266" t="str">
        <f>IF(M46=1,SUM(M$35:M46),"")</f>
        <v/>
      </c>
      <c r="O46" s="266" t="e">
        <f t="shared" si="0"/>
        <v>#VALUE!</v>
      </c>
      <c r="P46" s="285" t="str">
        <f t="shared" si="1"/>
        <v/>
      </c>
      <c r="Q46" s="440" t="str">
        <f t="shared" si="2"/>
        <v/>
      </c>
      <c r="R46" s="441">
        <f t="shared" si="3"/>
        <v>0</v>
      </c>
      <c r="S46" s="339">
        <f t="shared" si="4"/>
        <v>0</v>
      </c>
    </row>
    <row r="47" spans="1:19" ht="25.4" customHeight="1" thickTop="1" thickBot="1">
      <c r="A47" s="21"/>
      <c r="B47" s="71"/>
      <c r="C47" s="71"/>
      <c r="D47" s="71"/>
      <c r="E47" s="75"/>
      <c r="F47" s="73"/>
      <c r="G47" s="541" t="s">
        <v>40</v>
      </c>
      <c r="H47" s="542"/>
      <c r="I47" s="535" t="str">
        <f>IF(J35="","",SUM(J30:J46))</f>
        <v/>
      </c>
      <c r="J47" s="536"/>
      <c r="K47" s="4"/>
      <c r="L47" s="265"/>
    </row>
    <row r="48" spans="1:19" ht="11.25" customHeight="1" thickBot="1">
      <c r="A48" s="21"/>
      <c r="B48" s="71"/>
      <c r="C48" s="71"/>
      <c r="D48" s="71"/>
      <c r="E48" s="36"/>
      <c r="F48" s="36"/>
      <c r="G48" s="72"/>
      <c r="H48" s="72"/>
      <c r="I48" s="74"/>
      <c r="J48" s="74"/>
      <c r="K48" s="4"/>
      <c r="L48" s="265"/>
    </row>
    <row r="49" spans="1:12" ht="24.75" customHeight="1" thickBot="1">
      <c r="A49" s="22"/>
      <c r="B49" s="22"/>
      <c r="C49" s="23"/>
      <c r="D49" s="22"/>
      <c r="E49" s="36"/>
      <c r="F49" s="36"/>
      <c r="G49" s="543" t="s">
        <v>176</v>
      </c>
      <c r="H49" s="544"/>
      <c r="I49" s="539" t="str">
        <f>IF(I47&lt;&gt;"",I47*1.1,"")</f>
        <v/>
      </c>
      <c r="J49" s="540"/>
      <c r="K49" s="22"/>
      <c r="L49" s="286"/>
    </row>
    <row r="50" spans="1:12" ht="19.5">
      <c r="A50" s="22"/>
      <c r="B50" s="22"/>
      <c r="C50" s="36"/>
      <c r="D50" s="36"/>
      <c r="E50" s="36"/>
      <c r="F50" s="36"/>
      <c r="G50" s="36"/>
      <c r="H50" s="36"/>
      <c r="I50" s="95"/>
      <c r="J50" s="95"/>
      <c r="K50" s="22"/>
      <c r="L50" s="286"/>
    </row>
    <row r="51" spans="1:12" ht="13.5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86"/>
    </row>
    <row r="52" spans="1:12" ht="13.5">
      <c r="A52" s="22"/>
      <c r="B52" s="22"/>
      <c r="C52" s="22"/>
      <c r="D52" s="22"/>
      <c r="E52" s="22"/>
      <c r="F52" s="22"/>
      <c r="G52" s="22"/>
      <c r="H52" s="22"/>
      <c r="I52" s="22"/>
      <c r="J52" s="139"/>
      <c r="K52" s="22"/>
      <c r="L52" s="286"/>
    </row>
    <row r="53" spans="1:12" ht="14">
      <c r="A53" s="22"/>
      <c r="B53" s="22"/>
      <c r="C53" s="22"/>
      <c r="D53" s="22"/>
      <c r="E53" s="22"/>
      <c r="F53" s="22"/>
      <c r="G53" s="22"/>
      <c r="H53" s="22"/>
      <c r="I53" s="4"/>
      <c r="J53" s="4"/>
      <c r="K53" s="22"/>
      <c r="L53" s="286"/>
    </row>
    <row r="54" spans="1:12" ht="14">
      <c r="A54" s="22"/>
      <c r="B54" s="22"/>
      <c r="C54" s="22"/>
      <c r="D54" s="22"/>
      <c r="E54" s="22"/>
      <c r="F54" s="22"/>
      <c r="G54" s="22"/>
      <c r="H54" s="22"/>
      <c r="J54" s="467" t="s">
        <v>489</v>
      </c>
      <c r="K54" s="22"/>
      <c r="L54" s="286"/>
    </row>
    <row r="55" spans="1:12" ht="13.5">
      <c r="A55" s="22"/>
      <c r="B55" s="22"/>
      <c r="C55" s="22"/>
      <c r="D55" s="22"/>
      <c r="E55" s="22"/>
      <c r="F55" s="22"/>
      <c r="G55" s="22"/>
      <c r="H55" s="22"/>
      <c r="I55" s="486" t="s">
        <v>182</v>
      </c>
      <c r="J55" s="486"/>
      <c r="K55" s="22"/>
      <c r="L55" s="286"/>
    </row>
    <row r="56" spans="1:12" ht="13.5">
      <c r="A56" s="22"/>
      <c r="B56" s="22"/>
      <c r="C56" s="22"/>
      <c r="D56" s="22"/>
      <c r="E56" s="22"/>
      <c r="F56" s="22"/>
      <c r="G56" s="22"/>
      <c r="H56" s="22"/>
      <c r="I56" s="417" t="s">
        <v>211</v>
      </c>
      <c r="J56" s="115"/>
      <c r="K56" s="22"/>
      <c r="L56" s="286"/>
    </row>
    <row r="57" spans="1:12" ht="13.5">
      <c r="A57" s="22"/>
      <c r="B57" s="22"/>
      <c r="C57" s="22"/>
      <c r="D57" s="22"/>
      <c r="E57" s="22"/>
      <c r="F57" s="22"/>
      <c r="G57" s="22"/>
      <c r="H57" s="22"/>
      <c r="I57" s="417" t="s">
        <v>183</v>
      </c>
      <c r="J57" s="115"/>
      <c r="K57" s="22"/>
      <c r="L57" s="286"/>
    </row>
    <row r="58" spans="1:12" ht="13.5">
      <c r="A58" s="22"/>
      <c r="B58" s="22"/>
      <c r="C58" s="22"/>
      <c r="D58" s="22"/>
      <c r="E58" s="22"/>
      <c r="F58" s="22"/>
      <c r="G58" s="22"/>
      <c r="H58" s="22"/>
      <c r="I58" s="417" t="s">
        <v>363</v>
      </c>
      <c r="J58" s="115"/>
      <c r="K58" s="22"/>
      <c r="L58" s="286"/>
    </row>
    <row r="59" spans="1:12" ht="14">
      <c r="A59" s="22"/>
      <c r="B59" s="22"/>
      <c r="C59" s="22"/>
      <c r="D59" s="22"/>
      <c r="E59" s="22"/>
      <c r="F59" s="22"/>
      <c r="G59" s="22"/>
      <c r="H59" s="22"/>
      <c r="K59" s="22"/>
      <c r="L59" s="286"/>
    </row>
    <row r="60" spans="1:12" ht="22.5" customHeight="1">
      <c r="A60" s="4"/>
      <c r="B60" s="22"/>
      <c r="C60" s="24"/>
      <c r="D60" s="4"/>
      <c r="E60" s="4"/>
      <c r="F60" s="4"/>
      <c r="G60" s="4"/>
      <c r="H60" s="4"/>
      <c r="I60" s="22"/>
      <c r="J60" s="22"/>
      <c r="K60" s="4"/>
      <c r="L60" s="265"/>
    </row>
    <row r="61" spans="1:12" ht="20">
      <c r="A61" s="4"/>
      <c r="B61" s="22"/>
      <c r="C61" s="24"/>
      <c r="D61" s="4"/>
      <c r="E61" s="4"/>
      <c r="F61" s="4"/>
      <c r="G61" s="4"/>
      <c r="H61" s="4"/>
      <c r="I61" s="22"/>
      <c r="J61" s="22"/>
      <c r="K61" s="4"/>
      <c r="L61" s="265"/>
    </row>
    <row r="62" spans="1:12" ht="20">
      <c r="A62" s="4"/>
      <c r="B62" s="22"/>
      <c r="C62" s="24"/>
      <c r="D62" s="4"/>
      <c r="E62" s="4"/>
      <c r="F62" s="4"/>
      <c r="G62" s="4"/>
      <c r="H62" s="4"/>
      <c r="I62" s="4"/>
      <c r="J62" s="4"/>
      <c r="K62" s="4"/>
      <c r="L62" s="265"/>
    </row>
    <row r="63" spans="1:12" ht="20">
      <c r="A63" s="4"/>
      <c r="B63" s="22"/>
      <c r="C63" s="24"/>
      <c r="D63" s="4"/>
      <c r="E63" s="4"/>
      <c r="F63" s="4"/>
      <c r="G63" s="4"/>
      <c r="H63" s="4"/>
      <c r="I63" s="4"/>
      <c r="J63" s="4"/>
      <c r="K63" s="4"/>
      <c r="L63" s="265"/>
    </row>
    <row r="64" spans="1:12" ht="14">
      <c r="A64" s="4"/>
      <c r="B64" s="22"/>
      <c r="C64" s="4"/>
      <c r="D64" s="4"/>
      <c r="E64" s="4"/>
      <c r="F64" s="4"/>
      <c r="G64" s="4"/>
      <c r="H64" s="4"/>
      <c r="I64" s="4"/>
      <c r="J64" s="4"/>
      <c r="K64" s="4"/>
      <c r="L64" s="265"/>
    </row>
    <row r="65" spans="1:1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265"/>
    </row>
    <row r="66" spans="1:1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265"/>
    </row>
    <row r="67" spans="1:1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265"/>
    </row>
  </sheetData>
  <sheetProtection algorithmName="SHA-512" hashValue="lRDw0J4VK7UT/0jFVHwwC4MtY/1kkTUa1+WdaxpL+KI2E05flijEuV6oRYoKt08cJQ2yVhFGIoLi6xX16FgyHA==" saltValue="f1ya8npAoFO7wHSut49Gww==" spinCount="100000" sheet="1" objects="1" scenarios="1"/>
  <mergeCells count="55">
    <mergeCell ref="I47:J47"/>
    <mergeCell ref="F21:F22"/>
    <mergeCell ref="I49:J49"/>
    <mergeCell ref="G47:H47"/>
    <mergeCell ref="G49:H49"/>
    <mergeCell ref="C38:D38"/>
    <mergeCell ref="C39:D39"/>
    <mergeCell ref="C43:D43"/>
    <mergeCell ref="H28:H29"/>
    <mergeCell ref="E28:G29"/>
    <mergeCell ref="E30:G30"/>
    <mergeCell ref="C35:D35"/>
    <mergeCell ref="E31:G31"/>
    <mergeCell ref="C33:D33"/>
    <mergeCell ref="B17:B18"/>
    <mergeCell ref="F24:J24"/>
    <mergeCell ref="I28:I29"/>
    <mergeCell ref="C18:F18"/>
    <mergeCell ref="G17:G18"/>
    <mergeCell ref="H17:J18"/>
    <mergeCell ref="C21:D21"/>
    <mergeCell ref="C22:D22"/>
    <mergeCell ref="C19:F19"/>
    <mergeCell ref="H19:J19"/>
    <mergeCell ref="F25:J26"/>
    <mergeCell ref="F16:J16"/>
    <mergeCell ref="C16:D16"/>
    <mergeCell ref="C23:D23"/>
    <mergeCell ref="F23:I23"/>
    <mergeCell ref="E15:I15"/>
    <mergeCell ref="I55:J55"/>
    <mergeCell ref="C24:D24"/>
    <mergeCell ref="J28:J29"/>
    <mergeCell ref="C20:F20"/>
    <mergeCell ref="H20:J20"/>
    <mergeCell ref="H21:J21"/>
    <mergeCell ref="H22:J22"/>
    <mergeCell ref="E21:E22"/>
    <mergeCell ref="C45:D45"/>
    <mergeCell ref="C46:D46"/>
    <mergeCell ref="C36:D36"/>
    <mergeCell ref="C44:D44"/>
    <mergeCell ref="C37:D37"/>
    <mergeCell ref="C40:D40"/>
    <mergeCell ref="C41:D41"/>
    <mergeCell ref="C42:D42"/>
    <mergeCell ref="E10:J12"/>
    <mergeCell ref="B2:J2"/>
    <mergeCell ref="E13:J13"/>
    <mergeCell ref="E14:J14"/>
    <mergeCell ref="B10:D10"/>
    <mergeCell ref="B11:B12"/>
    <mergeCell ref="C11:D12"/>
    <mergeCell ref="B13:D13"/>
    <mergeCell ref="B14:D14"/>
  </mergeCells>
  <phoneticPr fontId="6"/>
  <conditionalFormatting sqref="B35:D46">
    <cfRule type="expression" dxfId="93" priority="4">
      <formula>$S35=1</formula>
    </cfRule>
  </conditionalFormatting>
  <conditionalFormatting sqref="C11">
    <cfRule type="cellIs" dxfId="92" priority="1" operator="notEqual">
      <formula>""</formula>
    </cfRule>
  </conditionalFormatting>
  <conditionalFormatting sqref="C17">
    <cfRule type="expression" dxfId="91" priority="16">
      <formula>$D$17&lt;&gt;""</formula>
    </cfRule>
  </conditionalFormatting>
  <conditionalFormatting sqref="C23">
    <cfRule type="expression" dxfId="90" priority="17" stopIfTrue="1">
      <formula>$P$23=1</formula>
    </cfRule>
  </conditionalFormatting>
  <conditionalFormatting sqref="C24">
    <cfRule type="expression" dxfId="89" priority="22" stopIfTrue="1">
      <formula>$P$24=1</formula>
    </cfRule>
  </conditionalFormatting>
  <conditionalFormatting sqref="C16:D16 F16:J16 D17 H17:J22 C18:F20">
    <cfRule type="cellIs" dxfId="88" priority="18" operator="notEqual">
      <formula>""</formula>
    </cfRule>
  </conditionalFormatting>
  <conditionalFormatting sqref="C24:D24 C23 F21:F23 C21:D22 F24:J24">
    <cfRule type="cellIs" dxfId="87" priority="23" operator="notEqual">
      <formula>""</formula>
    </cfRule>
  </conditionalFormatting>
  <conditionalFormatting sqref="C35:D46">
    <cfRule type="duplicateValues" dxfId="86" priority="35"/>
  </conditionalFormatting>
  <conditionalFormatting sqref="D31">
    <cfRule type="expression" dxfId="85" priority="3">
      <formula>S33=1</formula>
    </cfRule>
  </conditionalFormatting>
  <conditionalFormatting sqref="E13">
    <cfRule type="expression" dxfId="84" priority="9">
      <formula>$L$12=1</formula>
    </cfRule>
  </conditionalFormatting>
  <conditionalFormatting sqref="E31:G31">
    <cfRule type="cellIs" dxfId="83" priority="21" operator="equal">
      <formula>"情報セキュリティの申込人数が不合致です"</formula>
    </cfRule>
  </conditionalFormatting>
  <conditionalFormatting sqref="E35:G45">
    <cfRule type="expression" dxfId="82" priority="10">
      <formula>AND($E35="",$H35&gt;0)</formula>
    </cfRule>
  </conditionalFormatting>
  <conditionalFormatting sqref="E14:J14">
    <cfRule type="expression" dxfId="81" priority="8">
      <formula>$L$12=1</formula>
    </cfRule>
  </conditionalFormatting>
  <conditionalFormatting sqref="F23">
    <cfRule type="expression" dxfId="80" priority="14" stopIfTrue="1">
      <formula>$R$27&lt;&gt;0</formula>
    </cfRule>
    <cfRule type="expression" dxfId="79" priority="15" stopIfTrue="1">
      <formula>$L$27&lt;&gt;0</formula>
    </cfRule>
  </conditionalFormatting>
  <conditionalFormatting sqref="H35:H46">
    <cfRule type="expression" dxfId="78" priority="2">
      <formula>AND($E35&lt;&gt;"",$H35=0)</formula>
    </cfRule>
    <cfRule type="expression" dxfId="77" priority="5">
      <formula>AND(E35="",H35&gt;0)</formula>
    </cfRule>
  </conditionalFormatting>
  <conditionalFormatting sqref="I31">
    <cfRule type="expression" dxfId="76" priority="7">
      <formula>$J$31&lt;&gt;""</formula>
    </cfRule>
  </conditionalFormatting>
  <conditionalFormatting sqref="J15">
    <cfRule type="cellIs" dxfId="75" priority="6" operator="equal">
      <formula>"エラー有"</formula>
    </cfRule>
  </conditionalFormatting>
  <conditionalFormatting sqref="J23">
    <cfRule type="cellIs" dxfId="74" priority="12" operator="equal">
      <formula>TRUE</formula>
    </cfRule>
    <cfRule type="cellIs" dxfId="73" priority="13" operator="equal">
      <formula>FALSE</formula>
    </cfRule>
  </conditionalFormatting>
  <conditionalFormatting sqref="L13">
    <cfRule type="expression" dxfId="72" priority="34">
      <formula>L13="OK"</formula>
    </cfRule>
  </conditionalFormatting>
  <conditionalFormatting sqref="L15">
    <cfRule type="expression" dxfId="71" priority="19">
      <formula>L15="OK"</formula>
    </cfRule>
  </conditionalFormatting>
  <conditionalFormatting sqref="L18">
    <cfRule type="expression" dxfId="70" priority="25">
      <formula>L18="OK"</formula>
    </cfRule>
  </conditionalFormatting>
  <conditionalFormatting sqref="L20">
    <cfRule type="expression" dxfId="69" priority="31">
      <formula>L20="OK"</formula>
    </cfRule>
  </conditionalFormatting>
  <conditionalFormatting sqref="L22:L24">
    <cfRule type="expression" dxfId="68" priority="24">
      <formula>L22="OK"</formula>
    </cfRule>
  </conditionalFormatting>
  <conditionalFormatting sqref="L16:M16">
    <cfRule type="expression" dxfId="67" priority="32">
      <formula>L16="OK"</formula>
    </cfRule>
  </conditionalFormatting>
  <conditionalFormatting sqref="M22:M23">
    <cfRule type="expression" dxfId="66" priority="27">
      <formula>M22="OK"</formula>
    </cfRule>
  </conditionalFormatting>
  <dataValidations count="11">
    <dataValidation type="list" allowBlank="1" showInputMessage="1" showErrorMessage="1" promptTitle="選択項目" prompt="業種をご選択ください" sqref="H17:J18" xr:uid="{00000000-0002-0000-0200-000000000000}">
      <formula1>"農業・林業・漁業,鉱業,建設業,製造業,電気・ガス・熱供給・水道業,情報通信業,運輸業,卸売・小売業,金融・保険業,不動産業,飲食店・宿泊業,医療・福祉,教育・学習支援業,サービス業,公務員,その他"</formula1>
    </dataValidation>
    <dataValidation type="list" allowBlank="1" showInputMessage="1" showErrorMessage="1" promptTitle="カテゴリ選択" prompt="カテゴリ選択をプルダウンで選択してください。" sqref="B35:B46" xr:uid="{00000000-0002-0000-0200-000001000000}">
      <formula1>カテゴリ</formula1>
    </dataValidation>
    <dataValidation imeMode="off" allowBlank="1" showInputMessage="1" showErrorMessage="1" sqref="D17 J58" xr:uid="{00000000-0002-0000-0200-000002000000}"/>
    <dataValidation imeMode="on" allowBlank="1" showInputMessage="1" showErrorMessage="1" sqref="C21:D22 C19:F20 H19:J22 F21:F22 J57" xr:uid="{00000000-0002-0000-0200-000003000000}"/>
    <dataValidation type="list" allowBlank="1" showInputMessage="1" showErrorMessage="1" promptTitle="カテゴリ選択後に選択" prompt="カテゴリ選択後に受講講座を選択して下さい" sqref="C35:D46" xr:uid="{00000000-0002-0000-0200-000004000000}">
      <formula1>OFFSET(INDIRECT(B35),0,0,COUNTA(INDIRECT(B35)))</formula1>
    </dataValidation>
    <dataValidation type="date" imeMode="off" allowBlank="1" showInputMessage="1" showErrorMessage="1" errorTitle="本日日付以降の日をご入力下さい" error="本日日付以降の日をご入力下さい" promptTitle="本日日付以降" prompt="本日日付以降の日をご入力下さい" sqref="C16:D16" xr:uid="{00000000-0002-0000-0200-000005000000}">
      <formula1>TODAY()</formula1>
      <formula2>TODAY()+3600</formula2>
    </dataValidation>
    <dataValidation imeMode="off" allowBlank="1" showInputMessage="1" showErrorMessage="1" promptTitle="      ０から始まるﾊｲﾌｫﾝを入れた電話番号" prompt="ﾊｲﾌｫﾝを入れた０から始まる電話番号で入力下さい" sqref="C24:D24" xr:uid="{00000000-0002-0000-0200-000006000000}"/>
    <dataValidation type="list" allowBlank="1" showInputMessage="1" showErrorMessage="1" promptTitle="利用約款に同意" prompt="利用約款に同意するかどうかを選択して下さい" sqref="C11" xr:uid="{00000000-0002-0000-0200-000007000000}">
      <formula1>"同意する,同意しない"</formula1>
    </dataValidation>
    <dataValidation type="custom" imeMode="off" allowBlank="1" showInputMessage="1" showErrorMessage="1" promptTitle="メールアドレス入力" prompt="@マークやピリオドも含めて半角で入力してください。" sqref="F23:I23" xr:uid="{00000000-0002-0000-0200-000008000000}">
      <formula1>AND(COUNTIF(F23,"*@*"),COUNTIF(F23,"*.*"))</formula1>
    </dataValidation>
    <dataValidation type="custom" imeMode="off" allowBlank="1" showInputMessage="1" showErrorMessage="1" promptTitle="      ０から始まるﾊｲﾌｫﾝを入れた電話番号" prompt="ﾊｲﾌｫﾝを入れた０から始まる電話番号で入力下さい" sqref="C23:D23" xr:uid="{00000000-0002-0000-0200-000009000000}">
      <formula1>COUNTIF(C23,"*-*")</formula1>
    </dataValidation>
    <dataValidation imeMode="on" allowBlank="1" showInputMessage="1" showErrorMessage="1" promptTitle="住所" prompt="都道府県名から入力して下さい" sqref="C18:F18" xr:uid="{00000000-0002-0000-0200-00000A000000}"/>
  </dataValidations>
  <printOptions horizontalCentered="1" verticalCentered="1"/>
  <pageMargins left="0.31496062992125984" right="0" top="0.39370078740157483" bottom="0" header="0.31496062992125984" footer="0.31496062992125984"/>
  <pageSetup paperSize="9" scale="62" orientation="portrait" r:id="rId1"/>
  <headerFooter>
    <oddHeader>&amp;R&amp;D</oddHeader>
  </headerFooter>
  <ignoredErrors>
    <ignoredError sqref="J36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選択項目" prompt="お申込みのきっかけをご選択ください" xr:uid="{00000000-0002-0000-0200-00000B000000}">
          <x14:formula1>
            <xm:f>営企csv!$R$2:$R$11</xm:f>
          </x14:formula1>
          <xm:sqref>F24:J24</xm:sqref>
        </x14:dataValidation>
        <x14:dataValidation type="list" allowBlank="1" showInputMessage="1" showErrorMessage="1" promptTitle="選択項目" prompt="プルダウンでご選択ください" xr:uid="{00000000-0002-0000-0200-00000C000000}">
          <x14:formula1>
            <xm:f>開講日マスタ!$L$3:$L$6</xm:f>
          </x14:formula1>
          <xm:sqref>F16:J16</xm:sqref>
        </x14:dataValidation>
        <x14:dataValidation type="list" allowBlank="1" showInputMessage="1" showErrorMessage="1" xr:uid="{00000000-0002-0000-0200-00000D000000}">
          <x14:formula1>
            <xm:f>営企csv!$R$13:$R$38</xm:f>
          </x14:formula1>
          <xm:sqref>J56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AG52"/>
  <sheetViews>
    <sheetView showGridLines="0" zoomScale="75" zoomScaleNormal="75" workbookViewId="0">
      <selection activeCell="A2" sqref="A2"/>
    </sheetView>
  </sheetViews>
  <sheetFormatPr defaultRowHeight="16.5"/>
  <cols>
    <col min="1" max="1" width="2.453125" style="413" customWidth="1"/>
    <col min="2" max="2" width="6.6328125" customWidth="1"/>
    <col min="3" max="3" width="26.08984375" customWidth="1"/>
    <col min="4" max="4" width="46.08984375" customWidth="1"/>
    <col min="5" max="5" width="8.7265625" style="255" customWidth="1"/>
    <col min="6" max="17" width="15.7265625" customWidth="1"/>
    <col min="18" max="18" width="5.90625" customWidth="1"/>
    <col min="19" max="20" width="10.6328125" style="92" hidden="1" customWidth="1"/>
    <col min="21" max="22" width="10.6328125" style="294" hidden="1" customWidth="1"/>
    <col min="23" max="25" width="10.6328125" style="92" hidden="1" customWidth="1"/>
    <col min="26" max="26" width="10.6328125" hidden="1" customWidth="1"/>
    <col min="27" max="28" width="8.7265625" customWidth="1"/>
  </cols>
  <sheetData>
    <row r="1" spans="1:33" s="26" customFormat="1" ht="4.9000000000000004" customHeight="1" thickBot="1">
      <c r="A1" s="548"/>
      <c r="B1" s="548"/>
      <c r="C1" s="548"/>
      <c r="D1" s="548"/>
      <c r="E1" s="251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249"/>
      <c r="V1" s="249"/>
      <c r="W1" s="145"/>
      <c r="X1" s="145"/>
      <c r="Y1" s="25"/>
    </row>
    <row r="2" spans="1:33" s="27" customFormat="1" ht="48" customHeight="1" thickTop="1" thickBot="1">
      <c r="A2" s="407"/>
      <c r="B2" s="556" t="s">
        <v>19</v>
      </c>
      <c r="C2" s="557"/>
      <c r="D2" s="557"/>
      <c r="E2" s="252"/>
      <c r="G2" s="181" t="s">
        <v>231</v>
      </c>
      <c r="H2" s="560" t="str">
        <f>申込書!C20&amp;"  様"</f>
        <v xml:space="preserve">  様</v>
      </c>
      <c r="I2" s="561"/>
      <c r="J2" s="561"/>
      <c r="K2" s="561"/>
      <c r="L2" s="561"/>
      <c r="M2" s="562"/>
      <c r="S2" s="295" t="s">
        <v>194</v>
      </c>
      <c r="T2" s="288"/>
      <c r="U2" s="287"/>
      <c r="V2" s="289"/>
      <c r="W2" s="288"/>
      <c r="X2" s="288"/>
      <c r="Y2" s="288"/>
      <c r="Z2" s="246"/>
    </row>
    <row r="3" spans="1:33" s="31" customFormat="1" ht="10.15" customHeight="1" thickTop="1" thickBot="1">
      <c r="A3" s="408"/>
      <c r="B3" s="28"/>
      <c r="C3" s="28"/>
      <c r="D3" s="81"/>
      <c r="E3" s="250"/>
      <c r="F3" s="29"/>
      <c r="G3" s="182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30"/>
      <c r="T3" s="30"/>
      <c r="U3" s="290"/>
      <c r="V3" s="290"/>
      <c r="W3" s="30"/>
      <c r="X3" s="30"/>
      <c r="Y3" s="121"/>
    </row>
    <row r="4" spans="1:33" s="31" customFormat="1" ht="24.65" customHeight="1" thickTop="1">
      <c r="A4" s="409"/>
      <c r="B4" s="554" t="s">
        <v>20</v>
      </c>
      <c r="C4" s="82" t="s">
        <v>21</v>
      </c>
      <c r="D4" s="296">
        <f>申込書!C22</f>
        <v>0</v>
      </c>
      <c r="E4" s="581" t="str">
        <f>IF(T11&gt;0,"エラー "&amp;T11&amp;"個 有","")</f>
        <v/>
      </c>
      <c r="F4" s="582"/>
      <c r="G4" s="183" t="s">
        <v>232</v>
      </c>
      <c r="H4" s="569" t="s">
        <v>234</v>
      </c>
      <c r="I4" s="570"/>
      <c r="J4" s="570"/>
      <c r="K4" s="570"/>
      <c r="L4" s="570"/>
      <c r="M4" s="571"/>
      <c r="N4" s="80"/>
      <c r="O4" s="80"/>
      <c r="P4" s="80"/>
      <c r="Q4" s="80"/>
      <c r="R4" s="80"/>
      <c r="S4" s="291"/>
      <c r="T4" s="291"/>
      <c r="U4" s="183"/>
      <c r="V4" s="183"/>
      <c r="W4" s="121"/>
      <c r="X4" s="291"/>
      <c r="Y4" s="291"/>
      <c r="Z4" s="414" t="s">
        <v>181</v>
      </c>
      <c r="AA4" s="80"/>
      <c r="AB4" s="80"/>
      <c r="AC4" s="80"/>
      <c r="AD4" s="80"/>
      <c r="AE4" s="80"/>
      <c r="AF4" s="80"/>
      <c r="AG4" s="80"/>
    </row>
    <row r="5" spans="1:33" s="31" customFormat="1" ht="24.65" customHeight="1">
      <c r="A5" s="409"/>
      <c r="B5" s="555"/>
      <c r="C5" s="83" t="s">
        <v>22</v>
      </c>
      <c r="D5" s="297" t="str">
        <f>申込書!H22&amp;"　様"</f>
        <v>　様</v>
      </c>
      <c r="E5" s="578" t="str">
        <f>IF(SUM(T12:U12)&gt;0,"選択講座で氏名がありません","")</f>
        <v/>
      </c>
      <c r="F5" s="579"/>
      <c r="G5" s="580"/>
      <c r="H5" s="563"/>
      <c r="I5" s="564"/>
      <c r="J5" s="564"/>
      <c r="K5" s="564"/>
      <c r="L5" s="564"/>
      <c r="M5" s="565"/>
      <c r="N5" s="80"/>
      <c r="O5" s="80"/>
      <c r="P5" s="80"/>
      <c r="Q5" s="80"/>
      <c r="R5" s="80"/>
      <c r="S5" s="291"/>
      <c r="T5" s="291"/>
      <c r="U5" s="183"/>
      <c r="V5" s="183"/>
      <c r="W5" s="121"/>
      <c r="X5" s="291"/>
      <c r="Y5" s="291"/>
      <c r="Z5" s="392"/>
      <c r="AA5" s="80"/>
      <c r="AB5" s="80"/>
      <c r="AC5" s="80"/>
      <c r="AD5" s="80"/>
      <c r="AE5" s="80"/>
      <c r="AF5" s="80"/>
      <c r="AG5" s="80"/>
    </row>
    <row r="6" spans="1:33" s="31" customFormat="1" ht="24.65" customHeight="1" thickBot="1">
      <c r="A6" s="409"/>
      <c r="B6" s="555"/>
      <c r="C6" s="32" t="s">
        <v>23</v>
      </c>
      <c r="D6" s="298">
        <f>申込書!F23</f>
        <v>0</v>
      </c>
      <c r="E6" s="574" t="str">
        <f>IF(V12=1,"選択講座でメールアドレスがありません。","")</f>
        <v/>
      </c>
      <c r="F6" s="575"/>
      <c r="G6" s="576"/>
      <c r="H6" s="566"/>
      <c r="I6" s="567"/>
      <c r="J6" s="567"/>
      <c r="K6" s="567"/>
      <c r="L6" s="567"/>
      <c r="M6" s="568"/>
      <c r="N6" s="80"/>
      <c r="O6" s="80"/>
      <c r="P6" s="80"/>
      <c r="Q6" s="80"/>
      <c r="R6" s="80"/>
      <c r="S6" s="291"/>
      <c r="T6" s="291"/>
      <c r="U6" s="183"/>
      <c r="V6" s="183"/>
      <c r="W6" s="121"/>
      <c r="X6" s="291"/>
      <c r="Y6" s="291"/>
      <c r="Z6" s="393"/>
      <c r="AA6" s="80"/>
      <c r="AB6" s="80"/>
      <c r="AC6" s="80"/>
      <c r="AD6" s="80"/>
      <c r="AE6" s="80"/>
      <c r="AF6" s="80"/>
      <c r="AG6" s="80"/>
    </row>
    <row r="7" spans="1:33" s="31" customFormat="1" ht="23" thickTop="1">
      <c r="A7" s="409"/>
      <c r="B7" s="549" t="s">
        <v>233</v>
      </c>
      <c r="C7" s="549"/>
      <c r="D7" s="550"/>
      <c r="E7" s="577" t="str">
        <f>IF(W12=1,"メルアドに全角文字があります。","")</f>
        <v/>
      </c>
      <c r="F7" s="577"/>
      <c r="G7" s="577"/>
      <c r="H7" s="572" t="str">
        <f>申込書!E31</f>
        <v/>
      </c>
      <c r="I7" s="572"/>
      <c r="J7" s="572"/>
      <c r="S7" s="121"/>
      <c r="T7" s="121"/>
      <c r="U7" s="292"/>
      <c r="V7" s="292"/>
      <c r="W7" s="121"/>
      <c r="X7" s="121"/>
      <c r="Y7" s="121"/>
    </row>
    <row r="8" spans="1:33" s="31" customFormat="1" ht="22.5">
      <c r="A8" s="409"/>
      <c r="C8" s="547" t="s">
        <v>236</v>
      </c>
      <c r="D8" s="547"/>
      <c r="E8" s="253"/>
      <c r="F8" s="147"/>
      <c r="G8" s="558" t="s">
        <v>235</v>
      </c>
      <c r="H8" s="559"/>
      <c r="I8" s="263"/>
      <c r="J8" s="573" t="s">
        <v>180</v>
      </c>
      <c r="K8" s="528"/>
      <c r="L8" s="262"/>
      <c r="M8" s="558" t="s">
        <v>273</v>
      </c>
      <c r="N8" s="559"/>
      <c r="O8" s="146"/>
      <c r="P8" s="146"/>
      <c r="Q8" s="146"/>
      <c r="S8" s="121"/>
      <c r="T8" s="121"/>
      <c r="U8" s="292"/>
      <c r="V8" s="292"/>
      <c r="W8" s="121"/>
      <c r="X8" s="121"/>
      <c r="Y8" s="121"/>
    </row>
    <row r="9" spans="1:33" s="31" customFormat="1" ht="5.15" customHeight="1" thickBot="1">
      <c r="A9" s="409"/>
      <c r="B9" s="38"/>
      <c r="C9" s="547"/>
      <c r="D9" s="547"/>
      <c r="E9" s="253"/>
      <c r="S9" s="121"/>
      <c r="T9" s="121"/>
      <c r="U9" s="292"/>
      <c r="V9" s="292"/>
      <c r="W9" s="121"/>
      <c r="X9" s="121"/>
      <c r="Y9" s="121"/>
    </row>
    <row r="10" spans="1:33" s="35" customFormat="1" ht="24" customHeight="1" thickTop="1" thickBot="1">
      <c r="A10" s="410"/>
      <c r="B10" s="33" t="s">
        <v>24</v>
      </c>
      <c r="C10" s="34"/>
      <c r="D10" s="180" t="str">
        <f>IF(D46&gt;0,"受講講座が選択されていません","")</f>
        <v/>
      </c>
      <c r="E10" s="254"/>
      <c r="F10" s="149" t="s">
        <v>179</v>
      </c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1"/>
      <c r="R10" s="31"/>
      <c r="S10" s="121"/>
      <c r="T10" s="121"/>
      <c r="U10" s="292"/>
      <c r="V10" s="292"/>
      <c r="W10" s="121"/>
      <c r="X10" s="121"/>
      <c r="Y10" s="293"/>
    </row>
    <row r="11" spans="1:33" s="35" customFormat="1" ht="78.650000000000006" customHeight="1" thickTop="1" thickBot="1">
      <c r="A11" s="410">
        <f>SUM(A15:A44)</f>
        <v>0</v>
      </c>
      <c r="B11" s="551" t="s">
        <v>25</v>
      </c>
      <c r="C11" s="247" t="s">
        <v>26</v>
      </c>
      <c r="D11" s="257" t="s">
        <v>27</v>
      </c>
      <c r="E11" s="545" t="s">
        <v>352</v>
      </c>
      <c r="F11" s="259" t="str">
        <f>IF(申込書!$C35&lt;&gt;"",申込書!$C35,"")</f>
        <v/>
      </c>
      <c r="G11" s="438" t="str">
        <f>IF(申込書!$C36&lt;&gt;"",申込書!$C36,"")</f>
        <v/>
      </c>
      <c r="H11" s="438" t="str">
        <f>IF(申込書!$C37&lt;&gt;"",申込書!$C37,"")</f>
        <v/>
      </c>
      <c r="I11" s="438" t="str">
        <f>IF(申込書!$C38&lt;&gt;"",申込書!$C38,"")</f>
        <v/>
      </c>
      <c r="J11" s="438" t="str">
        <f>IF(申込書!$C39&lt;&gt;"",申込書!$C39,"")</f>
        <v/>
      </c>
      <c r="K11" s="438" t="str">
        <f>IF(申込書!$C40&lt;&gt;"",申込書!$C40,"")</f>
        <v/>
      </c>
      <c r="L11" s="438" t="str">
        <f>IF(申込書!$C41&lt;&gt;"",申込書!$C41,"")</f>
        <v/>
      </c>
      <c r="M11" s="438" t="str">
        <f>IF(申込書!$C42&lt;&gt;"",申込書!$C42,"")</f>
        <v/>
      </c>
      <c r="N11" s="438" t="str">
        <f>IF(申込書!$C43&lt;&gt;"",申込書!$C43,"")</f>
        <v/>
      </c>
      <c r="O11" s="438" t="str">
        <f>IF(申込書!$C44&lt;&gt;"",申込書!$C44,"")</f>
        <v/>
      </c>
      <c r="P11" s="438" t="str">
        <f>IF(申込書!$C45&lt;&gt;"",申込書!$C45,"")</f>
        <v/>
      </c>
      <c r="Q11" s="439" t="str">
        <f>IF(申込書!$C46&lt;&gt;"",申込書!$C46,"")</f>
        <v/>
      </c>
      <c r="R11" s="31"/>
      <c r="S11" s="416" t="s">
        <v>358</v>
      </c>
      <c r="T11" s="415">
        <f>SUM(S12:Y12)</f>
        <v>0</v>
      </c>
      <c r="U11" s="292"/>
      <c r="V11" s="292"/>
      <c r="W11" s="121"/>
      <c r="X11" s="121"/>
      <c r="Y11" s="293"/>
    </row>
    <row r="12" spans="1:33" s="35" customFormat="1" ht="18.649999999999999" customHeight="1" thickTop="1" thickBot="1">
      <c r="A12" s="410"/>
      <c r="B12" s="552"/>
      <c r="C12" s="248"/>
      <c r="D12" s="258" t="str">
        <f>IF(C13&lt;&gt;D13,"氏名とメルアド数が不合致","")</f>
        <v/>
      </c>
      <c r="E12" s="546"/>
      <c r="F12" s="260" t="str">
        <f>申込書!$E35</f>
        <v/>
      </c>
      <c r="G12" s="154" t="str">
        <f>申込書!$E36</f>
        <v/>
      </c>
      <c r="H12" s="154" t="str">
        <f>申込書!$E37</f>
        <v/>
      </c>
      <c r="I12" s="154" t="str">
        <f>申込書!$E38</f>
        <v/>
      </c>
      <c r="J12" s="154" t="str">
        <f>申込書!$E39</f>
        <v/>
      </c>
      <c r="K12" s="154" t="str">
        <f>申込書!$E40</f>
        <v/>
      </c>
      <c r="L12" s="154" t="str">
        <f>申込書!$E41</f>
        <v/>
      </c>
      <c r="M12" s="154" t="str">
        <f>申込書!$E42</f>
        <v/>
      </c>
      <c r="N12" s="154" t="str">
        <f>申込書!$E43</f>
        <v/>
      </c>
      <c r="O12" s="154" t="str">
        <f>申込書!$E44</f>
        <v/>
      </c>
      <c r="P12" s="154" t="str">
        <f>申込書!$E45</f>
        <v/>
      </c>
      <c r="Q12" s="155" t="str">
        <f>申込書!$E46</f>
        <v/>
      </c>
      <c r="R12" s="31"/>
      <c r="S12" s="424"/>
      <c r="T12" s="424">
        <f>IF(T14&lt;&gt;0,1,0)</f>
        <v>0</v>
      </c>
      <c r="U12" s="424">
        <f>IF(U14&lt;&gt;0,1,0)</f>
        <v>0</v>
      </c>
      <c r="V12" s="424">
        <f>IF(V14&lt;&gt;0,1,0)</f>
        <v>0</v>
      </c>
      <c r="W12" s="425">
        <f>IF(W14&lt;&gt;0,1,0)</f>
        <v>0</v>
      </c>
      <c r="X12" s="424">
        <f>IF(X14&lt;&gt;0,1,)</f>
        <v>0</v>
      </c>
      <c r="Y12" s="424">
        <f>IF(Y14&lt;&gt;0,1,)</f>
        <v>0</v>
      </c>
      <c r="Z12" s="424">
        <f>IF(Z14&lt;&gt;0,1,)</f>
        <v>0</v>
      </c>
    </row>
    <row r="13" spans="1:33" s="35" customFormat="1" ht="27" customHeight="1" thickTop="1">
      <c r="A13" s="410"/>
      <c r="B13" s="553"/>
      <c r="C13" s="189">
        <f>COUNTA(C15:C44)</f>
        <v>0</v>
      </c>
      <c r="D13" s="188">
        <f>COUNTA(D15:D44)</f>
        <v>0</v>
      </c>
      <c r="E13" s="406" t="s">
        <v>350</v>
      </c>
      <c r="F13" s="261">
        <f t="shared" ref="F13:Q13" si="0">COUNTIF(F15:F44,"●")</f>
        <v>0</v>
      </c>
      <c r="G13" s="261">
        <f t="shared" si="0"/>
        <v>0</v>
      </c>
      <c r="H13" s="261">
        <f t="shared" si="0"/>
        <v>0</v>
      </c>
      <c r="I13" s="261">
        <f t="shared" si="0"/>
        <v>0</v>
      </c>
      <c r="J13" s="261">
        <f t="shared" si="0"/>
        <v>0</v>
      </c>
      <c r="K13" s="261">
        <f t="shared" si="0"/>
        <v>0</v>
      </c>
      <c r="L13" s="261">
        <f t="shared" si="0"/>
        <v>0</v>
      </c>
      <c r="M13" s="261">
        <f t="shared" si="0"/>
        <v>0</v>
      </c>
      <c r="N13" s="261">
        <f t="shared" si="0"/>
        <v>0</v>
      </c>
      <c r="O13" s="261">
        <f t="shared" si="0"/>
        <v>0</v>
      </c>
      <c r="P13" s="261">
        <f t="shared" si="0"/>
        <v>0</v>
      </c>
      <c r="Q13" s="261">
        <f t="shared" si="0"/>
        <v>0</v>
      </c>
      <c r="R13" s="31"/>
      <c r="S13" s="426">
        <f>SUM(F13:Q13)</f>
        <v>0</v>
      </c>
      <c r="T13" s="424" t="s">
        <v>353</v>
      </c>
      <c r="U13" s="424" t="s">
        <v>355</v>
      </c>
      <c r="V13" s="427" t="s">
        <v>356</v>
      </c>
      <c r="W13" s="428" t="s">
        <v>354</v>
      </c>
      <c r="X13" s="429" t="s">
        <v>272</v>
      </c>
      <c r="Y13" s="424" t="s">
        <v>357</v>
      </c>
      <c r="Z13" s="430"/>
    </row>
    <row r="14" spans="1:33" s="35" customFormat="1" ht="18" customHeight="1" thickBot="1">
      <c r="A14" s="411"/>
      <c r="B14" s="77" t="s">
        <v>28</v>
      </c>
      <c r="C14" s="197" t="s">
        <v>29</v>
      </c>
      <c r="D14" s="238" t="s">
        <v>30</v>
      </c>
      <c r="E14" s="452">
        <v>2</v>
      </c>
      <c r="F14" s="156" t="s">
        <v>31</v>
      </c>
      <c r="G14" s="153" t="s">
        <v>31</v>
      </c>
      <c r="H14" s="184" t="s">
        <v>248</v>
      </c>
      <c r="I14" s="152"/>
      <c r="J14" s="152"/>
      <c r="K14" s="152"/>
      <c r="L14" s="152"/>
      <c r="M14" s="152"/>
      <c r="N14" s="152"/>
      <c r="O14" s="152"/>
      <c r="P14" s="152"/>
      <c r="Q14" s="152"/>
      <c r="R14" s="31"/>
      <c r="S14" s="431">
        <f>SUM(S15:S44)</f>
        <v>0</v>
      </c>
      <c r="T14" s="432">
        <f>SUM(T15:T44)</f>
        <v>0</v>
      </c>
      <c r="U14" s="432">
        <f>SUM(U15:U44)</f>
        <v>0</v>
      </c>
      <c r="V14" s="432">
        <f t="shared" ref="V14:X14" si="1">SUM(V15:V44)</f>
        <v>0</v>
      </c>
      <c r="W14" s="432">
        <f t="shared" si="1"/>
        <v>0</v>
      </c>
      <c r="X14" s="432">
        <f t="shared" si="1"/>
        <v>0</v>
      </c>
      <c r="Y14" s="432">
        <f>COUNTIF(Y15:Y44,FALSE)</f>
        <v>0</v>
      </c>
      <c r="Z14" s="432">
        <f>COUNTIF(Z15:Z44,"&gt;0")</f>
        <v>0</v>
      </c>
    </row>
    <row r="15" spans="1:33" s="393" customFormat="1" ht="23.65" customHeight="1" thickTop="1">
      <c r="A15" s="412">
        <f>IF(OR(C15&lt;&gt;"",D15&lt;&gt;""),1,0)</f>
        <v>0</v>
      </c>
      <c r="B15" s="401">
        <v>1</v>
      </c>
      <c r="C15" s="386"/>
      <c r="D15" s="387"/>
      <c r="E15" s="450" t="b">
        <f t="shared" ref="E15:E22" si="2">IF(D15&lt;&gt;"",IF(LEN(D15)&lt;&gt;LENB(D15),"エラー",COUNTA(F15:Q15)))</f>
        <v>0</v>
      </c>
      <c r="F15" s="388"/>
      <c r="G15" s="389"/>
      <c r="H15" s="389"/>
      <c r="I15" s="389"/>
      <c r="J15" s="389"/>
      <c r="K15" s="389"/>
      <c r="L15" s="389"/>
      <c r="M15" s="389"/>
      <c r="N15" s="389"/>
      <c r="O15" s="389"/>
      <c r="P15" s="389"/>
      <c r="Q15" s="390"/>
      <c r="R15" s="391"/>
      <c r="S15" s="433">
        <f>COUNTIF($F15:$Q15,"●")</f>
        <v>0</v>
      </c>
      <c r="T15" s="434">
        <f>IF(AND(S15&gt;0,C15=""),1,0)</f>
        <v>0</v>
      </c>
      <c r="U15" s="434">
        <f>IF(AND(S15=0,D15&lt;&gt;""),1,0)</f>
        <v>0</v>
      </c>
      <c r="V15" s="435">
        <f>IF(AND(D15="",S15&gt;0),1,0)</f>
        <v>0</v>
      </c>
      <c r="W15" s="436">
        <f>LENB(D15)-LEN(D15)</f>
        <v>0</v>
      </c>
      <c r="X15" s="434">
        <f>IF(AND(C15&gt;1,D15=""),1,0)</f>
        <v>0</v>
      </c>
      <c r="Y15" s="434">
        <f>IF(C15&lt;&gt;"",IF(AND(D15&lt;&gt;"",S15&gt;0),0),0)</f>
        <v>0</v>
      </c>
      <c r="Z15" s="437">
        <f>SUM(T15:Y15)</f>
        <v>0</v>
      </c>
    </row>
    <row r="16" spans="1:33" s="393" customFormat="1" ht="23.65" customHeight="1">
      <c r="A16" s="412">
        <f t="shared" ref="A16:A44" si="3">IF(OR(C16&lt;&gt;"",D16&lt;&gt;""),1,0)</f>
        <v>0</v>
      </c>
      <c r="B16" s="401">
        <v>2</v>
      </c>
      <c r="C16" s="394"/>
      <c r="D16" s="387"/>
      <c r="E16" s="450" t="b">
        <f t="shared" si="2"/>
        <v>0</v>
      </c>
      <c r="F16" s="388"/>
      <c r="G16" s="389"/>
      <c r="H16" s="389"/>
      <c r="I16" s="389"/>
      <c r="J16" s="389"/>
      <c r="K16" s="389"/>
      <c r="L16" s="389"/>
      <c r="M16" s="389"/>
      <c r="N16" s="389"/>
      <c r="O16" s="389"/>
      <c r="P16" s="389"/>
      <c r="Q16" s="390"/>
      <c r="R16" s="391"/>
      <c r="S16" s="433">
        <f t="shared" ref="S16:S44" si="4">COUNTIF($F16:$Q16,"●")</f>
        <v>0</v>
      </c>
      <c r="T16" s="434">
        <f t="shared" ref="T16:T44" si="5">IF(AND(S16&gt;0,C16=""),1,0)</f>
        <v>0</v>
      </c>
      <c r="U16" s="434">
        <f t="shared" ref="U16:U44" si="6">IF(AND(S16=0,D16&lt;&gt;""),1,0)</f>
        <v>0</v>
      </c>
      <c r="V16" s="435">
        <f t="shared" ref="V16:V44" si="7">IF(AND(D16="",S16&gt;0),1,0)</f>
        <v>0</v>
      </c>
      <c r="W16" s="436">
        <f t="shared" ref="W16:W44" si="8">LENB(D16)-LEN(D16)</f>
        <v>0</v>
      </c>
      <c r="X16" s="434">
        <f t="shared" ref="X16:X44" si="9">IF(AND(C16&gt;1,D16=""),1,0)</f>
        <v>0</v>
      </c>
      <c r="Y16" s="434">
        <f t="shared" ref="Y16:Y29" si="10">IF(C16&lt;&gt;"",IF(AND(D16&lt;&gt;"",S16&gt;0),0),0)</f>
        <v>0</v>
      </c>
      <c r="Z16" s="437">
        <f t="shared" ref="Z16:Z44" si="11">SUM(T16:Y16)</f>
        <v>0</v>
      </c>
    </row>
    <row r="17" spans="1:26" s="393" customFormat="1" ht="23.65" customHeight="1">
      <c r="A17" s="412">
        <f t="shared" si="3"/>
        <v>0</v>
      </c>
      <c r="B17" s="401">
        <v>3</v>
      </c>
      <c r="C17" s="394"/>
      <c r="D17" s="387"/>
      <c r="E17" s="450" t="b">
        <f t="shared" si="2"/>
        <v>0</v>
      </c>
      <c r="F17" s="388"/>
      <c r="G17" s="389"/>
      <c r="H17" s="389"/>
      <c r="I17" s="389"/>
      <c r="J17" s="389"/>
      <c r="K17" s="389"/>
      <c r="L17" s="389"/>
      <c r="M17" s="389"/>
      <c r="N17" s="389"/>
      <c r="O17" s="389"/>
      <c r="P17" s="389"/>
      <c r="Q17" s="390"/>
      <c r="R17" s="391"/>
      <c r="S17" s="433">
        <f t="shared" si="4"/>
        <v>0</v>
      </c>
      <c r="T17" s="434">
        <f t="shared" si="5"/>
        <v>0</v>
      </c>
      <c r="U17" s="434">
        <f t="shared" si="6"/>
        <v>0</v>
      </c>
      <c r="V17" s="435">
        <f t="shared" si="7"/>
        <v>0</v>
      </c>
      <c r="W17" s="436">
        <f t="shared" si="8"/>
        <v>0</v>
      </c>
      <c r="X17" s="434">
        <f t="shared" si="9"/>
        <v>0</v>
      </c>
      <c r="Y17" s="434">
        <f t="shared" si="10"/>
        <v>0</v>
      </c>
      <c r="Z17" s="437">
        <f t="shared" si="11"/>
        <v>0</v>
      </c>
    </row>
    <row r="18" spans="1:26" s="393" customFormat="1" ht="23.65" customHeight="1">
      <c r="A18" s="412">
        <f t="shared" si="3"/>
        <v>0</v>
      </c>
      <c r="B18" s="401">
        <v>4</v>
      </c>
      <c r="C18" s="394"/>
      <c r="D18" s="387"/>
      <c r="E18" s="450" t="b">
        <f t="shared" si="2"/>
        <v>0</v>
      </c>
      <c r="F18" s="388"/>
      <c r="G18" s="389"/>
      <c r="H18" s="389"/>
      <c r="I18" s="389"/>
      <c r="J18" s="389"/>
      <c r="K18" s="389"/>
      <c r="L18" s="389"/>
      <c r="M18" s="389"/>
      <c r="N18" s="389"/>
      <c r="O18" s="389"/>
      <c r="P18" s="389"/>
      <c r="Q18" s="390"/>
      <c r="R18" s="391"/>
      <c r="S18" s="433">
        <f t="shared" si="4"/>
        <v>0</v>
      </c>
      <c r="T18" s="434">
        <f t="shared" si="5"/>
        <v>0</v>
      </c>
      <c r="U18" s="434">
        <f t="shared" si="6"/>
        <v>0</v>
      </c>
      <c r="V18" s="435">
        <f t="shared" si="7"/>
        <v>0</v>
      </c>
      <c r="W18" s="436">
        <f t="shared" si="8"/>
        <v>0</v>
      </c>
      <c r="X18" s="434">
        <f t="shared" si="9"/>
        <v>0</v>
      </c>
      <c r="Y18" s="434">
        <f t="shared" si="10"/>
        <v>0</v>
      </c>
      <c r="Z18" s="437">
        <f t="shared" si="11"/>
        <v>0</v>
      </c>
    </row>
    <row r="19" spans="1:26" s="393" customFormat="1" ht="23.65" customHeight="1">
      <c r="A19" s="412">
        <f t="shared" si="3"/>
        <v>0</v>
      </c>
      <c r="B19" s="401">
        <v>5</v>
      </c>
      <c r="C19" s="394"/>
      <c r="D19" s="387"/>
      <c r="E19" s="450" t="b">
        <f t="shared" si="2"/>
        <v>0</v>
      </c>
      <c r="F19" s="388"/>
      <c r="G19" s="389"/>
      <c r="H19" s="389"/>
      <c r="I19" s="389"/>
      <c r="J19" s="389"/>
      <c r="K19" s="389"/>
      <c r="L19" s="389"/>
      <c r="M19" s="389"/>
      <c r="N19" s="389"/>
      <c r="O19" s="389"/>
      <c r="P19" s="389"/>
      <c r="Q19" s="390"/>
      <c r="R19" s="391"/>
      <c r="S19" s="433">
        <f t="shared" si="4"/>
        <v>0</v>
      </c>
      <c r="T19" s="434">
        <f t="shared" si="5"/>
        <v>0</v>
      </c>
      <c r="U19" s="434">
        <f t="shared" si="6"/>
        <v>0</v>
      </c>
      <c r="V19" s="435">
        <f t="shared" si="7"/>
        <v>0</v>
      </c>
      <c r="W19" s="436">
        <f t="shared" si="8"/>
        <v>0</v>
      </c>
      <c r="X19" s="434">
        <f t="shared" si="9"/>
        <v>0</v>
      </c>
      <c r="Y19" s="434">
        <f t="shared" si="10"/>
        <v>0</v>
      </c>
      <c r="Z19" s="437">
        <f t="shared" si="11"/>
        <v>0</v>
      </c>
    </row>
    <row r="20" spans="1:26" s="393" customFormat="1" ht="23.65" customHeight="1">
      <c r="A20" s="412">
        <f t="shared" si="3"/>
        <v>0</v>
      </c>
      <c r="B20" s="401">
        <v>6</v>
      </c>
      <c r="C20" s="394"/>
      <c r="D20" s="387"/>
      <c r="E20" s="450" t="b">
        <f t="shared" si="2"/>
        <v>0</v>
      </c>
      <c r="F20" s="388"/>
      <c r="G20" s="389"/>
      <c r="H20" s="389"/>
      <c r="I20" s="389"/>
      <c r="J20" s="389"/>
      <c r="K20" s="389"/>
      <c r="L20" s="389"/>
      <c r="M20" s="389"/>
      <c r="N20" s="389"/>
      <c r="O20" s="389"/>
      <c r="P20" s="389"/>
      <c r="Q20" s="390"/>
      <c r="R20" s="391"/>
      <c r="S20" s="433">
        <f t="shared" si="4"/>
        <v>0</v>
      </c>
      <c r="T20" s="434">
        <f t="shared" si="5"/>
        <v>0</v>
      </c>
      <c r="U20" s="434">
        <f t="shared" si="6"/>
        <v>0</v>
      </c>
      <c r="V20" s="435">
        <f t="shared" si="7"/>
        <v>0</v>
      </c>
      <c r="W20" s="436">
        <f t="shared" si="8"/>
        <v>0</v>
      </c>
      <c r="X20" s="434">
        <f t="shared" si="9"/>
        <v>0</v>
      </c>
      <c r="Y20" s="434">
        <f t="shared" si="10"/>
        <v>0</v>
      </c>
      <c r="Z20" s="437">
        <f t="shared" si="11"/>
        <v>0</v>
      </c>
    </row>
    <row r="21" spans="1:26" s="393" customFormat="1" ht="23.65" customHeight="1">
      <c r="A21" s="412">
        <f t="shared" si="3"/>
        <v>0</v>
      </c>
      <c r="B21" s="401">
        <v>7</v>
      </c>
      <c r="C21" s="394"/>
      <c r="D21" s="387"/>
      <c r="E21" s="450" t="b">
        <f t="shared" si="2"/>
        <v>0</v>
      </c>
      <c r="F21" s="388"/>
      <c r="G21" s="389"/>
      <c r="H21" s="389"/>
      <c r="I21" s="389"/>
      <c r="J21" s="389"/>
      <c r="K21" s="389"/>
      <c r="L21" s="389"/>
      <c r="M21" s="389"/>
      <c r="N21" s="389"/>
      <c r="O21" s="389"/>
      <c r="P21" s="389"/>
      <c r="Q21" s="390"/>
      <c r="R21" s="391"/>
      <c r="S21" s="433">
        <f t="shared" si="4"/>
        <v>0</v>
      </c>
      <c r="T21" s="434">
        <f t="shared" si="5"/>
        <v>0</v>
      </c>
      <c r="U21" s="434">
        <f t="shared" si="6"/>
        <v>0</v>
      </c>
      <c r="V21" s="435">
        <f t="shared" si="7"/>
        <v>0</v>
      </c>
      <c r="W21" s="436">
        <f t="shared" si="8"/>
        <v>0</v>
      </c>
      <c r="X21" s="434">
        <f t="shared" si="9"/>
        <v>0</v>
      </c>
      <c r="Y21" s="434">
        <f t="shared" si="10"/>
        <v>0</v>
      </c>
      <c r="Z21" s="437">
        <f t="shared" si="11"/>
        <v>0</v>
      </c>
    </row>
    <row r="22" spans="1:26" s="393" customFormat="1" ht="23.65" customHeight="1">
      <c r="A22" s="412">
        <f t="shared" si="3"/>
        <v>0</v>
      </c>
      <c r="B22" s="401">
        <v>8</v>
      </c>
      <c r="C22" s="394"/>
      <c r="D22" s="387"/>
      <c r="E22" s="450" t="b">
        <f t="shared" si="2"/>
        <v>0</v>
      </c>
      <c r="F22" s="388"/>
      <c r="G22" s="389"/>
      <c r="H22" s="389"/>
      <c r="I22" s="389"/>
      <c r="J22" s="389"/>
      <c r="K22" s="389"/>
      <c r="L22" s="389"/>
      <c r="M22" s="389"/>
      <c r="N22" s="389"/>
      <c r="O22" s="389"/>
      <c r="P22" s="389"/>
      <c r="Q22" s="390"/>
      <c r="R22" s="391"/>
      <c r="S22" s="433">
        <f t="shared" si="4"/>
        <v>0</v>
      </c>
      <c r="T22" s="434">
        <f t="shared" si="5"/>
        <v>0</v>
      </c>
      <c r="U22" s="434">
        <f t="shared" si="6"/>
        <v>0</v>
      </c>
      <c r="V22" s="435">
        <f t="shared" si="7"/>
        <v>0</v>
      </c>
      <c r="W22" s="436">
        <f t="shared" si="8"/>
        <v>0</v>
      </c>
      <c r="X22" s="434">
        <f t="shared" si="9"/>
        <v>0</v>
      </c>
      <c r="Y22" s="434">
        <f t="shared" si="10"/>
        <v>0</v>
      </c>
      <c r="Z22" s="437">
        <f t="shared" si="11"/>
        <v>0</v>
      </c>
    </row>
    <row r="23" spans="1:26" s="393" customFormat="1" ht="23.65" customHeight="1">
      <c r="A23" s="412">
        <f t="shared" si="3"/>
        <v>0</v>
      </c>
      <c r="B23" s="401">
        <v>9</v>
      </c>
      <c r="C23" s="394"/>
      <c r="D23" s="387"/>
      <c r="E23" s="450" t="b">
        <f t="shared" ref="E23:E44" si="12">IF(D23&lt;&gt;"",IF(LEN(D23)&lt;&gt;LENB(D23),"エラー",COUNTA(F23:Q23)))</f>
        <v>0</v>
      </c>
      <c r="F23" s="388"/>
      <c r="G23" s="389"/>
      <c r="H23" s="389"/>
      <c r="I23" s="389"/>
      <c r="J23" s="389"/>
      <c r="K23" s="389"/>
      <c r="L23" s="389"/>
      <c r="M23" s="389"/>
      <c r="N23" s="389"/>
      <c r="O23" s="389"/>
      <c r="P23" s="389"/>
      <c r="Q23" s="390"/>
      <c r="R23" s="391"/>
      <c r="S23" s="433">
        <f t="shared" si="4"/>
        <v>0</v>
      </c>
      <c r="T23" s="434">
        <f t="shared" si="5"/>
        <v>0</v>
      </c>
      <c r="U23" s="434">
        <f t="shared" si="6"/>
        <v>0</v>
      </c>
      <c r="V23" s="435">
        <f t="shared" si="7"/>
        <v>0</v>
      </c>
      <c r="W23" s="436">
        <f t="shared" si="8"/>
        <v>0</v>
      </c>
      <c r="X23" s="434">
        <f t="shared" si="9"/>
        <v>0</v>
      </c>
      <c r="Y23" s="434">
        <f t="shared" si="10"/>
        <v>0</v>
      </c>
      <c r="Z23" s="437">
        <f t="shared" si="11"/>
        <v>0</v>
      </c>
    </row>
    <row r="24" spans="1:26" s="393" customFormat="1" ht="23.65" customHeight="1">
      <c r="A24" s="412">
        <f t="shared" si="3"/>
        <v>0</v>
      </c>
      <c r="B24" s="401">
        <v>10</v>
      </c>
      <c r="C24" s="394"/>
      <c r="D24" s="387"/>
      <c r="E24" s="450" t="b">
        <f t="shared" si="12"/>
        <v>0</v>
      </c>
      <c r="F24" s="388"/>
      <c r="G24" s="389"/>
      <c r="H24" s="389"/>
      <c r="I24" s="389"/>
      <c r="J24" s="389"/>
      <c r="K24" s="389"/>
      <c r="L24" s="389"/>
      <c r="M24" s="389"/>
      <c r="N24" s="389"/>
      <c r="O24" s="389"/>
      <c r="P24" s="389"/>
      <c r="Q24" s="390"/>
      <c r="R24" s="391"/>
      <c r="S24" s="433">
        <f t="shared" si="4"/>
        <v>0</v>
      </c>
      <c r="T24" s="434">
        <f t="shared" si="5"/>
        <v>0</v>
      </c>
      <c r="U24" s="434">
        <f t="shared" si="6"/>
        <v>0</v>
      </c>
      <c r="V24" s="435">
        <f t="shared" si="7"/>
        <v>0</v>
      </c>
      <c r="W24" s="436">
        <f t="shared" si="8"/>
        <v>0</v>
      </c>
      <c r="X24" s="434">
        <f t="shared" si="9"/>
        <v>0</v>
      </c>
      <c r="Y24" s="434">
        <f t="shared" si="10"/>
        <v>0</v>
      </c>
      <c r="Z24" s="437">
        <f t="shared" si="11"/>
        <v>0</v>
      </c>
    </row>
    <row r="25" spans="1:26" s="393" customFormat="1" ht="23.65" customHeight="1">
      <c r="A25" s="412">
        <f t="shared" si="3"/>
        <v>0</v>
      </c>
      <c r="B25" s="401">
        <v>11</v>
      </c>
      <c r="C25" s="394"/>
      <c r="D25" s="387"/>
      <c r="E25" s="450" t="b">
        <f t="shared" si="12"/>
        <v>0</v>
      </c>
      <c r="F25" s="388"/>
      <c r="G25" s="389"/>
      <c r="H25" s="389"/>
      <c r="I25" s="389"/>
      <c r="J25" s="389"/>
      <c r="K25" s="389"/>
      <c r="L25" s="389"/>
      <c r="M25" s="389"/>
      <c r="N25" s="389"/>
      <c r="O25" s="389"/>
      <c r="P25" s="389"/>
      <c r="Q25" s="390"/>
      <c r="R25" s="391"/>
      <c r="S25" s="433">
        <f t="shared" si="4"/>
        <v>0</v>
      </c>
      <c r="T25" s="434">
        <f t="shared" si="5"/>
        <v>0</v>
      </c>
      <c r="U25" s="434">
        <f t="shared" si="6"/>
        <v>0</v>
      </c>
      <c r="V25" s="435">
        <f t="shared" si="7"/>
        <v>0</v>
      </c>
      <c r="W25" s="436">
        <f t="shared" si="8"/>
        <v>0</v>
      </c>
      <c r="X25" s="434">
        <f t="shared" si="9"/>
        <v>0</v>
      </c>
      <c r="Y25" s="434">
        <f t="shared" si="10"/>
        <v>0</v>
      </c>
      <c r="Z25" s="437">
        <f t="shared" si="11"/>
        <v>0</v>
      </c>
    </row>
    <row r="26" spans="1:26" s="393" customFormat="1" ht="23.65" customHeight="1">
      <c r="A26" s="412">
        <f t="shared" si="3"/>
        <v>0</v>
      </c>
      <c r="B26" s="401">
        <v>12</v>
      </c>
      <c r="C26" s="394"/>
      <c r="D26" s="387"/>
      <c r="E26" s="450" t="b">
        <f t="shared" si="12"/>
        <v>0</v>
      </c>
      <c r="F26" s="388"/>
      <c r="G26" s="389"/>
      <c r="H26" s="389"/>
      <c r="I26" s="389"/>
      <c r="J26" s="389"/>
      <c r="K26" s="389"/>
      <c r="L26" s="389"/>
      <c r="M26" s="389"/>
      <c r="N26" s="389"/>
      <c r="O26" s="389"/>
      <c r="P26" s="389"/>
      <c r="Q26" s="390"/>
      <c r="R26" s="391"/>
      <c r="S26" s="433">
        <f t="shared" si="4"/>
        <v>0</v>
      </c>
      <c r="T26" s="434">
        <f t="shared" si="5"/>
        <v>0</v>
      </c>
      <c r="U26" s="434">
        <f t="shared" si="6"/>
        <v>0</v>
      </c>
      <c r="V26" s="435">
        <f t="shared" si="7"/>
        <v>0</v>
      </c>
      <c r="W26" s="436">
        <f t="shared" si="8"/>
        <v>0</v>
      </c>
      <c r="X26" s="434">
        <f t="shared" si="9"/>
        <v>0</v>
      </c>
      <c r="Y26" s="434">
        <f t="shared" si="10"/>
        <v>0</v>
      </c>
      <c r="Z26" s="437">
        <f t="shared" si="11"/>
        <v>0</v>
      </c>
    </row>
    <row r="27" spans="1:26" s="393" customFormat="1" ht="23.65" customHeight="1">
      <c r="A27" s="412">
        <f t="shared" si="3"/>
        <v>0</v>
      </c>
      <c r="B27" s="401">
        <v>13</v>
      </c>
      <c r="C27" s="394"/>
      <c r="D27" s="387"/>
      <c r="E27" s="450" t="b">
        <f t="shared" si="12"/>
        <v>0</v>
      </c>
      <c r="F27" s="388"/>
      <c r="G27" s="389"/>
      <c r="H27" s="389"/>
      <c r="I27" s="389"/>
      <c r="J27" s="389"/>
      <c r="K27" s="389"/>
      <c r="L27" s="389"/>
      <c r="M27" s="389"/>
      <c r="N27" s="389"/>
      <c r="O27" s="389"/>
      <c r="P27" s="389"/>
      <c r="Q27" s="390"/>
      <c r="R27" s="391"/>
      <c r="S27" s="433">
        <f t="shared" si="4"/>
        <v>0</v>
      </c>
      <c r="T27" s="434">
        <f t="shared" si="5"/>
        <v>0</v>
      </c>
      <c r="U27" s="434">
        <f t="shared" si="6"/>
        <v>0</v>
      </c>
      <c r="V27" s="435">
        <f t="shared" si="7"/>
        <v>0</v>
      </c>
      <c r="W27" s="436">
        <f t="shared" si="8"/>
        <v>0</v>
      </c>
      <c r="X27" s="434">
        <f t="shared" si="9"/>
        <v>0</v>
      </c>
      <c r="Y27" s="434">
        <f t="shared" si="10"/>
        <v>0</v>
      </c>
      <c r="Z27" s="437">
        <f t="shared" si="11"/>
        <v>0</v>
      </c>
    </row>
    <row r="28" spans="1:26" s="393" customFormat="1" ht="23.65" customHeight="1">
      <c r="A28" s="412">
        <f t="shared" si="3"/>
        <v>0</v>
      </c>
      <c r="B28" s="401">
        <v>14</v>
      </c>
      <c r="C28" s="394"/>
      <c r="D28" s="387"/>
      <c r="E28" s="450" t="b">
        <f t="shared" si="12"/>
        <v>0</v>
      </c>
      <c r="F28" s="388"/>
      <c r="G28" s="389"/>
      <c r="H28" s="389"/>
      <c r="I28" s="389"/>
      <c r="J28" s="389"/>
      <c r="K28" s="389"/>
      <c r="L28" s="389"/>
      <c r="M28" s="389"/>
      <c r="N28" s="389"/>
      <c r="O28" s="389"/>
      <c r="P28" s="389"/>
      <c r="Q28" s="390"/>
      <c r="R28" s="391"/>
      <c r="S28" s="433">
        <f t="shared" si="4"/>
        <v>0</v>
      </c>
      <c r="T28" s="434">
        <f t="shared" si="5"/>
        <v>0</v>
      </c>
      <c r="U28" s="434">
        <f t="shared" si="6"/>
        <v>0</v>
      </c>
      <c r="V28" s="435">
        <f t="shared" si="7"/>
        <v>0</v>
      </c>
      <c r="W28" s="436">
        <f t="shared" si="8"/>
        <v>0</v>
      </c>
      <c r="X28" s="434">
        <f t="shared" si="9"/>
        <v>0</v>
      </c>
      <c r="Y28" s="434">
        <f t="shared" si="10"/>
        <v>0</v>
      </c>
      <c r="Z28" s="437">
        <f t="shared" si="11"/>
        <v>0</v>
      </c>
    </row>
    <row r="29" spans="1:26" s="393" customFormat="1" ht="23.65" customHeight="1">
      <c r="A29" s="412">
        <f t="shared" si="3"/>
        <v>0</v>
      </c>
      <c r="B29" s="401">
        <v>15</v>
      </c>
      <c r="C29" s="394"/>
      <c r="D29" s="387"/>
      <c r="E29" s="450" t="b">
        <f t="shared" si="12"/>
        <v>0</v>
      </c>
      <c r="F29" s="388"/>
      <c r="G29" s="389"/>
      <c r="H29" s="389"/>
      <c r="I29" s="389"/>
      <c r="J29" s="389"/>
      <c r="K29" s="389"/>
      <c r="L29" s="389"/>
      <c r="M29" s="389"/>
      <c r="N29" s="389"/>
      <c r="O29" s="389"/>
      <c r="P29" s="389"/>
      <c r="Q29" s="390"/>
      <c r="R29" s="391"/>
      <c r="S29" s="433">
        <f t="shared" si="4"/>
        <v>0</v>
      </c>
      <c r="T29" s="434">
        <f t="shared" si="5"/>
        <v>0</v>
      </c>
      <c r="U29" s="434">
        <f t="shared" si="6"/>
        <v>0</v>
      </c>
      <c r="V29" s="435">
        <f t="shared" si="7"/>
        <v>0</v>
      </c>
      <c r="W29" s="436">
        <f t="shared" si="8"/>
        <v>0</v>
      </c>
      <c r="X29" s="434">
        <f t="shared" si="9"/>
        <v>0</v>
      </c>
      <c r="Y29" s="434">
        <f t="shared" si="10"/>
        <v>0</v>
      </c>
      <c r="Z29" s="437">
        <f t="shared" si="11"/>
        <v>0</v>
      </c>
    </row>
    <row r="30" spans="1:26" s="393" customFormat="1" ht="23.65" customHeight="1">
      <c r="A30" s="412">
        <f t="shared" si="3"/>
        <v>0</v>
      </c>
      <c r="B30" s="401">
        <v>16</v>
      </c>
      <c r="C30" s="394"/>
      <c r="D30" s="387"/>
      <c r="E30" s="450" t="b">
        <f t="shared" si="12"/>
        <v>0</v>
      </c>
      <c r="F30" s="388"/>
      <c r="G30" s="389"/>
      <c r="H30" s="389"/>
      <c r="I30" s="389"/>
      <c r="J30" s="389"/>
      <c r="K30" s="389"/>
      <c r="L30" s="389"/>
      <c r="M30" s="389"/>
      <c r="N30" s="389"/>
      <c r="O30" s="389"/>
      <c r="P30" s="389"/>
      <c r="Q30" s="390"/>
      <c r="R30" s="391"/>
      <c r="S30" s="433">
        <f t="shared" si="4"/>
        <v>0</v>
      </c>
      <c r="T30" s="434">
        <f t="shared" si="5"/>
        <v>0</v>
      </c>
      <c r="U30" s="434">
        <f t="shared" si="6"/>
        <v>0</v>
      </c>
      <c r="V30" s="435">
        <f t="shared" si="7"/>
        <v>0</v>
      </c>
      <c r="W30" s="436">
        <f t="shared" si="8"/>
        <v>0</v>
      </c>
      <c r="X30" s="434">
        <f t="shared" si="9"/>
        <v>0</v>
      </c>
      <c r="Y30" s="434">
        <f t="shared" ref="Y30:Y44" si="13">IF(C30&lt;&gt;"",IF(AND(D30&lt;&gt;"",S30&gt;0),0),0)</f>
        <v>0</v>
      </c>
      <c r="Z30" s="437">
        <f t="shared" si="11"/>
        <v>0</v>
      </c>
    </row>
    <row r="31" spans="1:26" s="393" customFormat="1" ht="23.65" customHeight="1">
      <c r="A31" s="412">
        <f t="shared" si="3"/>
        <v>0</v>
      </c>
      <c r="B31" s="401">
        <v>17</v>
      </c>
      <c r="C31" s="394"/>
      <c r="D31" s="387"/>
      <c r="E31" s="450" t="b">
        <f t="shared" si="12"/>
        <v>0</v>
      </c>
      <c r="F31" s="388"/>
      <c r="G31" s="389"/>
      <c r="H31" s="389"/>
      <c r="I31" s="389"/>
      <c r="J31" s="389"/>
      <c r="K31" s="389"/>
      <c r="L31" s="389"/>
      <c r="M31" s="389"/>
      <c r="N31" s="389"/>
      <c r="O31" s="389"/>
      <c r="P31" s="389"/>
      <c r="Q31" s="390"/>
      <c r="R31" s="391"/>
      <c r="S31" s="433">
        <f t="shared" si="4"/>
        <v>0</v>
      </c>
      <c r="T31" s="434">
        <f t="shared" si="5"/>
        <v>0</v>
      </c>
      <c r="U31" s="434">
        <f t="shared" si="6"/>
        <v>0</v>
      </c>
      <c r="V31" s="435">
        <f t="shared" si="7"/>
        <v>0</v>
      </c>
      <c r="W31" s="436">
        <f t="shared" si="8"/>
        <v>0</v>
      </c>
      <c r="X31" s="434">
        <f t="shared" si="9"/>
        <v>0</v>
      </c>
      <c r="Y31" s="434">
        <f t="shared" si="13"/>
        <v>0</v>
      </c>
      <c r="Z31" s="437">
        <f t="shared" si="11"/>
        <v>0</v>
      </c>
    </row>
    <row r="32" spans="1:26" s="393" customFormat="1" ht="23.65" customHeight="1">
      <c r="A32" s="412">
        <f t="shared" si="3"/>
        <v>0</v>
      </c>
      <c r="B32" s="401">
        <v>18</v>
      </c>
      <c r="C32" s="394"/>
      <c r="D32" s="387"/>
      <c r="E32" s="450" t="b">
        <f t="shared" si="12"/>
        <v>0</v>
      </c>
      <c r="F32" s="388"/>
      <c r="G32" s="389"/>
      <c r="H32" s="389"/>
      <c r="I32" s="389"/>
      <c r="J32" s="389"/>
      <c r="K32" s="389"/>
      <c r="L32" s="389"/>
      <c r="M32" s="389"/>
      <c r="N32" s="389"/>
      <c r="O32" s="389"/>
      <c r="P32" s="389"/>
      <c r="Q32" s="390"/>
      <c r="R32" s="391"/>
      <c r="S32" s="433">
        <f t="shared" si="4"/>
        <v>0</v>
      </c>
      <c r="T32" s="434">
        <f t="shared" si="5"/>
        <v>0</v>
      </c>
      <c r="U32" s="434">
        <f t="shared" si="6"/>
        <v>0</v>
      </c>
      <c r="V32" s="435">
        <f t="shared" si="7"/>
        <v>0</v>
      </c>
      <c r="W32" s="436">
        <f t="shared" si="8"/>
        <v>0</v>
      </c>
      <c r="X32" s="434">
        <f t="shared" si="9"/>
        <v>0</v>
      </c>
      <c r="Y32" s="434">
        <f t="shared" si="13"/>
        <v>0</v>
      </c>
      <c r="Z32" s="437">
        <f t="shared" si="11"/>
        <v>0</v>
      </c>
    </row>
    <row r="33" spans="1:26" s="393" customFormat="1" ht="23.65" customHeight="1">
      <c r="A33" s="412">
        <f t="shared" si="3"/>
        <v>0</v>
      </c>
      <c r="B33" s="401">
        <v>19</v>
      </c>
      <c r="C33" s="394"/>
      <c r="D33" s="387"/>
      <c r="E33" s="450" t="b">
        <f t="shared" si="12"/>
        <v>0</v>
      </c>
      <c r="F33" s="388"/>
      <c r="G33" s="389"/>
      <c r="H33" s="389"/>
      <c r="I33" s="389"/>
      <c r="J33" s="389"/>
      <c r="K33" s="389"/>
      <c r="L33" s="389"/>
      <c r="M33" s="389"/>
      <c r="N33" s="388"/>
      <c r="O33" s="395"/>
      <c r="P33" s="389"/>
      <c r="Q33" s="390"/>
      <c r="R33" s="391"/>
      <c r="S33" s="433">
        <f t="shared" si="4"/>
        <v>0</v>
      </c>
      <c r="T33" s="434">
        <f t="shared" si="5"/>
        <v>0</v>
      </c>
      <c r="U33" s="434">
        <f t="shared" si="6"/>
        <v>0</v>
      </c>
      <c r="V33" s="435">
        <f t="shared" si="7"/>
        <v>0</v>
      </c>
      <c r="W33" s="436">
        <f t="shared" si="8"/>
        <v>0</v>
      </c>
      <c r="X33" s="434">
        <f t="shared" si="9"/>
        <v>0</v>
      </c>
      <c r="Y33" s="434">
        <f t="shared" si="13"/>
        <v>0</v>
      </c>
      <c r="Z33" s="437">
        <f t="shared" si="11"/>
        <v>0</v>
      </c>
    </row>
    <row r="34" spans="1:26" s="393" customFormat="1" ht="23.65" customHeight="1">
      <c r="A34" s="412">
        <f t="shared" si="3"/>
        <v>0</v>
      </c>
      <c r="B34" s="401">
        <v>20</v>
      </c>
      <c r="C34" s="394"/>
      <c r="D34" s="387"/>
      <c r="E34" s="450" t="b">
        <f t="shared" si="12"/>
        <v>0</v>
      </c>
      <c r="F34" s="388"/>
      <c r="G34" s="389"/>
      <c r="H34" s="389"/>
      <c r="I34" s="389"/>
      <c r="J34" s="389"/>
      <c r="K34" s="389"/>
      <c r="L34" s="389"/>
      <c r="M34" s="389"/>
      <c r="N34" s="388"/>
      <c r="O34" s="395"/>
      <c r="P34" s="389"/>
      <c r="Q34" s="390"/>
      <c r="R34" s="391"/>
      <c r="S34" s="433">
        <f t="shared" si="4"/>
        <v>0</v>
      </c>
      <c r="T34" s="434">
        <f t="shared" si="5"/>
        <v>0</v>
      </c>
      <c r="U34" s="434">
        <f t="shared" si="6"/>
        <v>0</v>
      </c>
      <c r="V34" s="435">
        <f t="shared" si="7"/>
        <v>0</v>
      </c>
      <c r="W34" s="436">
        <f t="shared" si="8"/>
        <v>0</v>
      </c>
      <c r="X34" s="434">
        <f t="shared" si="9"/>
        <v>0</v>
      </c>
      <c r="Y34" s="434">
        <f t="shared" si="13"/>
        <v>0</v>
      </c>
      <c r="Z34" s="437">
        <f t="shared" si="11"/>
        <v>0</v>
      </c>
    </row>
    <row r="35" spans="1:26" s="393" customFormat="1" ht="23.65" customHeight="1">
      <c r="A35" s="412">
        <f t="shared" si="3"/>
        <v>0</v>
      </c>
      <c r="B35" s="401">
        <v>21</v>
      </c>
      <c r="C35" s="394"/>
      <c r="D35" s="387"/>
      <c r="E35" s="450" t="b">
        <f t="shared" si="12"/>
        <v>0</v>
      </c>
      <c r="F35" s="388"/>
      <c r="G35" s="389"/>
      <c r="H35" s="389"/>
      <c r="I35" s="389"/>
      <c r="J35" s="389"/>
      <c r="K35" s="389"/>
      <c r="L35" s="389"/>
      <c r="M35" s="389"/>
      <c r="N35" s="388"/>
      <c r="O35" s="395"/>
      <c r="P35" s="389"/>
      <c r="Q35" s="390"/>
      <c r="R35" s="391"/>
      <c r="S35" s="433">
        <f t="shared" si="4"/>
        <v>0</v>
      </c>
      <c r="T35" s="434">
        <f t="shared" si="5"/>
        <v>0</v>
      </c>
      <c r="U35" s="434">
        <f t="shared" si="6"/>
        <v>0</v>
      </c>
      <c r="V35" s="435">
        <f t="shared" si="7"/>
        <v>0</v>
      </c>
      <c r="W35" s="436">
        <f t="shared" si="8"/>
        <v>0</v>
      </c>
      <c r="X35" s="434">
        <f t="shared" si="9"/>
        <v>0</v>
      </c>
      <c r="Y35" s="434">
        <f t="shared" si="13"/>
        <v>0</v>
      </c>
      <c r="Z35" s="437">
        <f t="shared" si="11"/>
        <v>0</v>
      </c>
    </row>
    <row r="36" spans="1:26" s="393" customFormat="1" ht="23.65" customHeight="1">
      <c r="A36" s="412">
        <f t="shared" si="3"/>
        <v>0</v>
      </c>
      <c r="B36" s="401">
        <v>22</v>
      </c>
      <c r="C36" s="394"/>
      <c r="D36" s="387"/>
      <c r="E36" s="450" t="b">
        <f t="shared" si="12"/>
        <v>0</v>
      </c>
      <c r="F36" s="388"/>
      <c r="G36" s="389"/>
      <c r="H36" s="389"/>
      <c r="I36" s="389"/>
      <c r="J36" s="389"/>
      <c r="K36" s="389"/>
      <c r="L36" s="389"/>
      <c r="M36" s="389"/>
      <c r="N36" s="388"/>
      <c r="O36" s="395"/>
      <c r="P36" s="389"/>
      <c r="Q36" s="390"/>
      <c r="R36" s="391"/>
      <c r="S36" s="433">
        <f t="shared" si="4"/>
        <v>0</v>
      </c>
      <c r="T36" s="434">
        <f t="shared" si="5"/>
        <v>0</v>
      </c>
      <c r="U36" s="434">
        <f t="shared" si="6"/>
        <v>0</v>
      </c>
      <c r="V36" s="435">
        <f t="shared" si="7"/>
        <v>0</v>
      </c>
      <c r="W36" s="436">
        <f t="shared" si="8"/>
        <v>0</v>
      </c>
      <c r="X36" s="434">
        <f t="shared" si="9"/>
        <v>0</v>
      </c>
      <c r="Y36" s="434">
        <f t="shared" si="13"/>
        <v>0</v>
      </c>
      <c r="Z36" s="437">
        <f t="shared" si="11"/>
        <v>0</v>
      </c>
    </row>
    <row r="37" spans="1:26" s="393" customFormat="1" ht="23.65" customHeight="1">
      <c r="A37" s="412">
        <f t="shared" si="3"/>
        <v>0</v>
      </c>
      <c r="B37" s="401">
        <v>23</v>
      </c>
      <c r="C37" s="394"/>
      <c r="D37" s="387"/>
      <c r="E37" s="450" t="b">
        <f t="shared" si="12"/>
        <v>0</v>
      </c>
      <c r="F37" s="388"/>
      <c r="G37" s="389"/>
      <c r="H37" s="389"/>
      <c r="I37" s="389"/>
      <c r="J37" s="389"/>
      <c r="K37" s="389"/>
      <c r="L37" s="389"/>
      <c r="M37" s="389"/>
      <c r="N37" s="388"/>
      <c r="O37" s="395"/>
      <c r="P37" s="389"/>
      <c r="Q37" s="390"/>
      <c r="R37" s="391"/>
      <c r="S37" s="433">
        <f t="shared" si="4"/>
        <v>0</v>
      </c>
      <c r="T37" s="434">
        <f t="shared" si="5"/>
        <v>0</v>
      </c>
      <c r="U37" s="434">
        <f t="shared" si="6"/>
        <v>0</v>
      </c>
      <c r="V37" s="435">
        <f t="shared" si="7"/>
        <v>0</v>
      </c>
      <c r="W37" s="436">
        <f t="shared" si="8"/>
        <v>0</v>
      </c>
      <c r="X37" s="434">
        <f t="shared" si="9"/>
        <v>0</v>
      </c>
      <c r="Y37" s="434">
        <f t="shared" si="13"/>
        <v>0</v>
      </c>
      <c r="Z37" s="437">
        <f t="shared" si="11"/>
        <v>0</v>
      </c>
    </row>
    <row r="38" spans="1:26" s="393" customFormat="1" ht="23.65" customHeight="1">
      <c r="A38" s="412">
        <f t="shared" si="3"/>
        <v>0</v>
      </c>
      <c r="B38" s="401">
        <v>24</v>
      </c>
      <c r="C38" s="394"/>
      <c r="D38" s="387"/>
      <c r="E38" s="450" t="b">
        <f t="shared" si="12"/>
        <v>0</v>
      </c>
      <c r="F38" s="388"/>
      <c r="G38" s="389"/>
      <c r="H38" s="389"/>
      <c r="I38" s="389"/>
      <c r="J38" s="389"/>
      <c r="K38" s="389"/>
      <c r="L38" s="389"/>
      <c r="M38" s="389"/>
      <c r="N38" s="388"/>
      <c r="O38" s="395"/>
      <c r="P38" s="389"/>
      <c r="Q38" s="390"/>
      <c r="R38" s="391"/>
      <c r="S38" s="433">
        <f t="shared" si="4"/>
        <v>0</v>
      </c>
      <c r="T38" s="434">
        <f t="shared" si="5"/>
        <v>0</v>
      </c>
      <c r="U38" s="434">
        <f t="shared" si="6"/>
        <v>0</v>
      </c>
      <c r="V38" s="435">
        <f t="shared" si="7"/>
        <v>0</v>
      </c>
      <c r="W38" s="436">
        <f t="shared" si="8"/>
        <v>0</v>
      </c>
      <c r="X38" s="434">
        <f t="shared" si="9"/>
        <v>0</v>
      </c>
      <c r="Y38" s="434">
        <f t="shared" si="13"/>
        <v>0</v>
      </c>
      <c r="Z38" s="437">
        <f t="shared" si="11"/>
        <v>0</v>
      </c>
    </row>
    <row r="39" spans="1:26" s="393" customFormat="1" ht="23.65" customHeight="1">
      <c r="A39" s="412">
        <f t="shared" si="3"/>
        <v>0</v>
      </c>
      <c r="B39" s="401">
        <v>25</v>
      </c>
      <c r="C39" s="394"/>
      <c r="D39" s="387"/>
      <c r="E39" s="450" t="b">
        <f t="shared" si="12"/>
        <v>0</v>
      </c>
      <c r="F39" s="388"/>
      <c r="G39" s="389"/>
      <c r="H39" s="389"/>
      <c r="I39" s="389"/>
      <c r="J39" s="389"/>
      <c r="K39" s="389"/>
      <c r="L39" s="389"/>
      <c r="M39" s="389"/>
      <c r="N39" s="388"/>
      <c r="O39" s="395"/>
      <c r="P39" s="389"/>
      <c r="Q39" s="390"/>
      <c r="R39" s="391"/>
      <c r="S39" s="433">
        <f t="shared" si="4"/>
        <v>0</v>
      </c>
      <c r="T39" s="434">
        <f t="shared" si="5"/>
        <v>0</v>
      </c>
      <c r="U39" s="434">
        <f t="shared" si="6"/>
        <v>0</v>
      </c>
      <c r="V39" s="435">
        <f t="shared" si="7"/>
        <v>0</v>
      </c>
      <c r="W39" s="436">
        <f t="shared" si="8"/>
        <v>0</v>
      </c>
      <c r="X39" s="434">
        <f t="shared" si="9"/>
        <v>0</v>
      </c>
      <c r="Y39" s="434">
        <f t="shared" si="13"/>
        <v>0</v>
      </c>
      <c r="Z39" s="437">
        <f t="shared" si="11"/>
        <v>0</v>
      </c>
    </row>
    <row r="40" spans="1:26" s="393" customFormat="1" ht="23.65" customHeight="1">
      <c r="A40" s="412">
        <f t="shared" si="3"/>
        <v>0</v>
      </c>
      <c r="B40" s="401">
        <v>26</v>
      </c>
      <c r="C40" s="394"/>
      <c r="D40" s="387"/>
      <c r="E40" s="450" t="b">
        <f t="shared" si="12"/>
        <v>0</v>
      </c>
      <c r="F40" s="388"/>
      <c r="G40" s="389"/>
      <c r="H40" s="389"/>
      <c r="I40" s="389"/>
      <c r="J40" s="389"/>
      <c r="K40" s="389"/>
      <c r="L40" s="389"/>
      <c r="M40" s="389"/>
      <c r="N40" s="388"/>
      <c r="O40" s="395"/>
      <c r="P40" s="389"/>
      <c r="Q40" s="390"/>
      <c r="R40" s="391"/>
      <c r="S40" s="433">
        <f t="shared" si="4"/>
        <v>0</v>
      </c>
      <c r="T40" s="434">
        <f t="shared" si="5"/>
        <v>0</v>
      </c>
      <c r="U40" s="434">
        <f t="shared" si="6"/>
        <v>0</v>
      </c>
      <c r="V40" s="435">
        <f t="shared" si="7"/>
        <v>0</v>
      </c>
      <c r="W40" s="436">
        <f t="shared" si="8"/>
        <v>0</v>
      </c>
      <c r="X40" s="434">
        <f t="shared" si="9"/>
        <v>0</v>
      </c>
      <c r="Y40" s="434">
        <f t="shared" si="13"/>
        <v>0</v>
      </c>
      <c r="Z40" s="437">
        <f t="shared" si="11"/>
        <v>0</v>
      </c>
    </row>
    <row r="41" spans="1:26" s="393" customFormat="1" ht="23.65" customHeight="1">
      <c r="A41" s="412">
        <f t="shared" si="3"/>
        <v>0</v>
      </c>
      <c r="B41" s="401">
        <v>27</v>
      </c>
      <c r="C41" s="394"/>
      <c r="D41" s="387"/>
      <c r="E41" s="450" t="b">
        <f t="shared" si="12"/>
        <v>0</v>
      </c>
      <c r="F41" s="388"/>
      <c r="G41" s="389"/>
      <c r="H41" s="389"/>
      <c r="I41" s="389"/>
      <c r="J41" s="389"/>
      <c r="K41" s="389"/>
      <c r="L41" s="389"/>
      <c r="M41" s="389"/>
      <c r="N41" s="388"/>
      <c r="O41" s="395"/>
      <c r="P41" s="389"/>
      <c r="Q41" s="390"/>
      <c r="R41" s="391"/>
      <c r="S41" s="433">
        <f t="shared" si="4"/>
        <v>0</v>
      </c>
      <c r="T41" s="434">
        <f t="shared" si="5"/>
        <v>0</v>
      </c>
      <c r="U41" s="434">
        <f t="shared" si="6"/>
        <v>0</v>
      </c>
      <c r="V41" s="435">
        <f t="shared" si="7"/>
        <v>0</v>
      </c>
      <c r="W41" s="436">
        <f t="shared" si="8"/>
        <v>0</v>
      </c>
      <c r="X41" s="434">
        <f t="shared" si="9"/>
        <v>0</v>
      </c>
      <c r="Y41" s="434">
        <f t="shared" si="13"/>
        <v>0</v>
      </c>
      <c r="Z41" s="437">
        <f t="shared" si="11"/>
        <v>0</v>
      </c>
    </row>
    <row r="42" spans="1:26" s="393" customFormat="1" ht="23.65" customHeight="1">
      <c r="A42" s="412">
        <f t="shared" si="3"/>
        <v>0</v>
      </c>
      <c r="B42" s="401">
        <v>28</v>
      </c>
      <c r="C42" s="394"/>
      <c r="D42" s="387"/>
      <c r="E42" s="450" t="b">
        <f t="shared" si="12"/>
        <v>0</v>
      </c>
      <c r="F42" s="388"/>
      <c r="G42" s="389"/>
      <c r="H42" s="389"/>
      <c r="I42" s="389"/>
      <c r="J42" s="389"/>
      <c r="K42" s="389"/>
      <c r="L42" s="389"/>
      <c r="M42" s="389"/>
      <c r="N42" s="388"/>
      <c r="O42" s="395"/>
      <c r="P42" s="389"/>
      <c r="Q42" s="390"/>
      <c r="R42" s="391"/>
      <c r="S42" s="433">
        <f t="shared" si="4"/>
        <v>0</v>
      </c>
      <c r="T42" s="434">
        <f t="shared" si="5"/>
        <v>0</v>
      </c>
      <c r="U42" s="434">
        <f t="shared" si="6"/>
        <v>0</v>
      </c>
      <c r="V42" s="435">
        <f t="shared" si="7"/>
        <v>0</v>
      </c>
      <c r="W42" s="436">
        <f t="shared" si="8"/>
        <v>0</v>
      </c>
      <c r="X42" s="434">
        <f t="shared" si="9"/>
        <v>0</v>
      </c>
      <c r="Y42" s="434">
        <f t="shared" si="13"/>
        <v>0</v>
      </c>
      <c r="Z42" s="437">
        <f t="shared" si="11"/>
        <v>0</v>
      </c>
    </row>
    <row r="43" spans="1:26" s="393" customFormat="1" ht="23.65" customHeight="1">
      <c r="A43" s="412">
        <f t="shared" si="3"/>
        <v>0</v>
      </c>
      <c r="B43" s="401">
        <v>29</v>
      </c>
      <c r="C43" s="394"/>
      <c r="D43" s="387"/>
      <c r="E43" s="450" t="b">
        <f t="shared" si="12"/>
        <v>0</v>
      </c>
      <c r="F43" s="388"/>
      <c r="G43" s="389"/>
      <c r="H43" s="389"/>
      <c r="I43" s="389"/>
      <c r="J43" s="389"/>
      <c r="K43" s="389"/>
      <c r="L43" s="389"/>
      <c r="M43" s="389"/>
      <c r="N43" s="388"/>
      <c r="O43" s="395"/>
      <c r="P43" s="389"/>
      <c r="Q43" s="390"/>
      <c r="R43" s="391"/>
      <c r="S43" s="433">
        <f t="shared" si="4"/>
        <v>0</v>
      </c>
      <c r="T43" s="434">
        <f t="shared" si="5"/>
        <v>0</v>
      </c>
      <c r="U43" s="434">
        <f t="shared" si="6"/>
        <v>0</v>
      </c>
      <c r="V43" s="435">
        <f t="shared" si="7"/>
        <v>0</v>
      </c>
      <c r="W43" s="436">
        <f t="shared" si="8"/>
        <v>0</v>
      </c>
      <c r="X43" s="434">
        <f t="shared" si="9"/>
        <v>0</v>
      </c>
      <c r="Y43" s="434">
        <f t="shared" si="13"/>
        <v>0</v>
      </c>
      <c r="Z43" s="437">
        <f t="shared" si="11"/>
        <v>0</v>
      </c>
    </row>
    <row r="44" spans="1:26" s="393" customFormat="1" ht="23.65" customHeight="1" thickBot="1">
      <c r="A44" s="412">
        <f t="shared" si="3"/>
        <v>0</v>
      </c>
      <c r="B44" s="402">
        <v>30</v>
      </c>
      <c r="C44" s="396"/>
      <c r="D44" s="404"/>
      <c r="E44" s="451" t="b">
        <f t="shared" si="12"/>
        <v>0</v>
      </c>
      <c r="F44" s="397"/>
      <c r="G44" s="398"/>
      <c r="H44" s="398"/>
      <c r="I44" s="398"/>
      <c r="J44" s="398"/>
      <c r="K44" s="398"/>
      <c r="L44" s="398"/>
      <c r="M44" s="398"/>
      <c r="N44" s="397"/>
      <c r="O44" s="399"/>
      <c r="P44" s="398"/>
      <c r="Q44" s="400"/>
      <c r="R44" s="391"/>
      <c r="S44" s="433">
        <f t="shared" si="4"/>
        <v>0</v>
      </c>
      <c r="T44" s="434">
        <f t="shared" si="5"/>
        <v>0</v>
      </c>
      <c r="U44" s="434">
        <f t="shared" si="6"/>
        <v>0</v>
      </c>
      <c r="V44" s="435">
        <f t="shared" si="7"/>
        <v>0</v>
      </c>
      <c r="W44" s="436">
        <f t="shared" si="8"/>
        <v>0</v>
      </c>
      <c r="X44" s="434">
        <f t="shared" si="9"/>
        <v>0</v>
      </c>
      <c r="Y44" s="434">
        <f t="shared" si="13"/>
        <v>0</v>
      </c>
      <c r="Z44" s="437">
        <f t="shared" si="11"/>
        <v>0</v>
      </c>
    </row>
    <row r="45" spans="1:26" ht="23" thickTop="1">
      <c r="R45" s="31"/>
      <c r="S45" s="121"/>
      <c r="T45" s="121"/>
      <c r="U45" s="292"/>
      <c r="V45" s="292"/>
      <c r="W45" s="121"/>
      <c r="X45" s="121"/>
    </row>
    <row r="46" spans="1:26" ht="22.5" hidden="1">
      <c r="D46" s="92">
        <f>SUM(F46:Q46)</f>
        <v>0</v>
      </c>
      <c r="E46" s="256"/>
      <c r="F46" s="179">
        <f>IF(AND(F12="",F13&lt;&gt;0),1,0)</f>
        <v>0</v>
      </c>
      <c r="G46" s="179">
        <f t="shared" ref="G46:Q46" si="14">IF(AND(G12="",G13&lt;&gt;0),1,0)</f>
        <v>0</v>
      </c>
      <c r="H46" s="179">
        <f t="shared" si="14"/>
        <v>0</v>
      </c>
      <c r="I46" s="179">
        <f t="shared" si="14"/>
        <v>0</v>
      </c>
      <c r="J46" s="179">
        <f t="shared" si="14"/>
        <v>0</v>
      </c>
      <c r="K46" s="179">
        <f t="shared" si="14"/>
        <v>0</v>
      </c>
      <c r="L46" s="179">
        <f t="shared" si="14"/>
        <v>0</v>
      </c>
      <c r="M46" s="179">
        <f t="shared" si="14"/>
        <v>0</v>
      </c>
      <c r="N46" s="179">
        <f t="shared" si="14"/>
        <v>0</v>
      </c>
      <c r="O46" s="179">
        <f t="shared" si="14"/>
        <v>0</v>
      </c>
      <c r="P46" s="179">
        <f t="shared" si="14"/>
        <v>0</v>
      </c>
      <c r="Q46" s="179">
        <f t="shared" si="14"/>
        <v>0</v>
      </c>
      <c r="R46" s="31"/>
      <c r="S46" s="121"/>
      <c r="T46" s="121"/>
      <c r="U46" s="292"/>
      <c r="V46" s="292"/>
      <c r="W46" s="121"/>
      <c r="X46" s="121"/>
    </row>
    <row r="47" spans="1:26" ht="22.5">
      <c r="R47" s="31"/>
      <c r="S47" s="121"/>
      <c r="T47" s="121"/>
      <c r="U47" s="292"/>
      <c r="V47" s="292"/>
      <c r="W47" s="121"/>
      <c r="X47" s="121"/>
    </row>
    <row r="48" spans="1:26" ht="22.5">
      <c r="R48" s="31"/>
      <c r="S48" s="121"/>
      <c r="T48" s="121"/>
      <c r="U48" s="292"/>
      <c r="V48" s="292"/>
      <c r="W48" s="121"/>
      <c r="X48" s="121"/>
    </row>
    <row r="49" spans="18:24" ht="22.5">
      <c r="R49" s="31"/>
      <c r="S49" s="121"/>
      <c r="T49" s="121"/>
      <c r="U49" s="292"/>
      <c r="V49" s="292"/>
      <c r="W49" s="121"/>
      <c r="X49" s="121"/>
    </row>
    <row r="50" spans="18:24" ht="22.5">
      <c r="R50" s="31"/>
      <c r="S50" s="121"/>
      <c r="T50" s="121"/>
      <c r="U50" s="292"/>
      <c r="V50" s="292"/>
      <c r="W50" s="121"/>
      <c r="X50" s="121"/>
    </row>
    <row r="51" spans="18:24" ht="22.5">
      <c r="R51" s="31"/>
      <c r="S51" s="121"/>
      <c r="T51" s="121"/>
      <c r="U51" s="292"/>
      <c r="V51" s="292"/>
      <c r="W51" s="121"/>
      <c r="X51" s="121"/>
    </row>
    <row r="52" spans="18:24" ht="22.5">
      <c r="R52" s="31"/>
      <c r="S52" s="121"/>
      <c r="T52" s="121"/>
      <c r="U52" s="292"/>
      <c r="V52" s="292"/>
      <c r="W52" s="121"/>
      <c r="X52" s="121"/>
    </row>
  </sheetData>
  <sheetProtection password="CE80" sheet="1" objects="1" scenarios="1"/>
  <dataConsolidate/>
  <mergeCells count="18">
    <mergeCell ref="G8:H8"/>
    <mergeCell ref="H2:M2"/>
    <mergeCell ref="H5:M6"/>
    <mergeCell ref="H4:M4"/>
    <mergeCell ref="H7:J7"/>
    <mergeCell ref="J8:K8"/>
    <mergeCell ref="M8:N8"/>
    <mergeCell ref="E6:G6"/>
    <mergeCell ref="E7:G7"/>
    <mergeCell ref="E5:G5"/>
    <mergeCell ref="E4:F4"/>
    <mergeCell ref="E11:E12"/>
    <mergeCell ref="C8:D9"/>
    <mergeCell ref="A1:D1"/>
    <mergeCell ref="B7:D7"/>
    <mergeCell ref="B11:B13"/>
    <mergeCell ref="B4:B6"/>
    <mergeCell ref="B2:D2"/>
  </mergeCells>
  <phoneticPr fontId="6"/>
  <conditionalFormatting sqref="B15:B44">
    <cfRule type="expression" dxfId="65" priority="16">
      <formula>$A15=1</formula>
    </cfRule>
  </conditionalFormatting>
  <conditionalFormatting sqref="C15:C44">
    <cfRule type="duplicateValues" dxfId="64" priority="3"/>
    <cfRule type="expression" dxfId="63" priority="21">
      <formula>AND($D15&lt;&gt;"",$C15="")</formula>
    </cfRule>
  </conditionalFormatting>
  <conditionalFormatting sqref="C13:D13">
    <cfRule type="cellIs" dxfId="62" priority="50" operator="greaterThan">
      <formula>0</formula>
    </cfRule>
  </conditionalFormatting>
  <conditionalFormatting sqref="C15:D44">
    <cfRule type="cellIs" dxfId="61" priority="24" operator="notEqual">
      <formula>""</formula>
    </cfRule>
  </conditionalFormatting>
  <conditionalFormatting sqref="D15:D44">
    <cfRule type="duplicateValues" dxfId="59" priority="2"/>
    <cfRule type="expression" dxfId="58" priority="13">
      <formula>-AND(D15="",$S15&gt;0)</formula>
    </cfRule>
    <cfRule type="expression" dxfId="57" priority="23">
      <formula>$W15&lt;&gt;0</formula>
    </cfRule>
    <cfRule type="expression" dxfId="56" priority="48">
      <formula>AND($C15&lt;&gt;"",$D15="")</formula>
    </cfRule>
  </conditionalFormatting>
  <conditionalFormatting sqref="D10:E10">
    <cfRule type="cellIs" dxfId="55" priority="53" operator="equal">
      <formula>"受講講座が選択されていません"</formula>
    </cfRule>
  </conditionalFormatting>
  <conditionalFormatting sqref="E11">
    <cfRule type="expression" dxfId="54" priority="17">
      <formula>$T11=0</formula>
    </cfRule>
  </conditionalFormatting>
  <conditionalFormatting sqref="E15:E44">
    <cfRule type="cellIs" dxfId="53" priority="1" operator="between">
      <formula>1</formula>
      <formula>99999</formula>
    </cfRule>
    <cfRule type="cellIs" dxfId="52" priority="12" operator="equal">
      <formula>"エラー"</formula>
    </cfRule>
    <cfRule type="cellIs" dxfId="51" priority="14" operator="equal">
      <formula>0</formula>
    </cfRule>
  </conditionalFormatting>
  <conditionalFormatting sqref="F11:Q12">
    <cfRule type="expression" dxfId="50" priority="9">
      <formula>F11=""</formula>
    </cfRule>
  </conditionalFormatting>
  <conditionalFormatting sqref="F13:Q13">
    <cfRule type="expression" dxfId="49" priority="18">
      <formula>AND(LEN(F12)=0,F13&gt;0)</formula>
    </cfRule>
    <cfRule type="expression" dxfId="48" priority="19">
      <formula>AND(LEN(F12)&gt;1,F13=0)</formula>
    </cfRule>
    <cfRule type="cellIs" dxfId="47" priority="56" operator="greaterThan">
      <formula>0</formula>
    </cfRule>
  </conditionalFormatting>
  <conditionalFormatting sqref="F15:Q44">
    <cfRule type="expression" dxfId="46" priority="8">
      <formula>AND($D15&lt;&gt;"",F$12&lt;&gt;"",F15="")</formula>
    </cfRule>
  </conditionalFormatting>
  <conditionalFormatting sqref="H7">
    <cfRule type="cellIs" dxfId="44" priority="52" operator="equal">
      <formula>"情報セキュリティの申込人数が不合致です"</formula>
    </cfRule>
  </conditionalFormatting>
  <conditionalFormatting sqref="S15:Y44">
    <cfRule type="cellIs" dxfId="43" priority="11" operator="notEqual">
      <formula>0</formula>
    </cfRule>
  </conditionalFormatting>
  <conditionalFormatting sqref="S12:Z12">
    <cfRule type="cellIs" dxfId="42" priority="6" operator="notEqual">
      <formula>0</formula>
    </cfRule>
  </conditionalFormatting>
  <conditionalFormatting sqref="Z15:Z44">
    <cfRule type="cellIs" dxfId="41" priority="7" operator="greaterThan">
      <formula>0</formula>
    </cfRule>
  </conditionalFormatting>
  <dataValidations count="4">
    <dataValidation imeMode="on" allowBlank="1" showInputMessage="1" showErrorMessage="1" sqref="C15:C44" xr:uid="{00000000-0002-0000-0300-000000000000}"/>
    <dataValidation imeMode="off" allowBlank="1" showErrorMessage="1" promptTitle="メールアドレス入力" prompt="@マークも含めて半角で入力してください。" sqref="E15:E44" xr:uid="{00000000-0002-0000-0300-000001000000}"/>
    <dataValidation type="custom" imeMode="off" allowBlank="1" showInputMessage="1" showErrorMessage="1" error="@マークやピリオドがありません。" promptTitle="メールアドレス" prompt="@マークやピリオドも含めて半角で入力してください。" sqref="D15:D44" xr:uid="{00000000-0002-0000-0300-000002000000}">
      <formula1>AND(COUNTIF(D15,"*@*"),COUNTIF(D15,"*.*"))</formula1>
    </dataValidation>
    <dataValidation type="list" imeMode="off" allowBlank="1" showInputMessage="1" showErrorMessage="1" sqref="F15:Q44" xr:uid="{00000000-0002-0000-0300-000003000000}">
      <formula1>$Z$4:$Z$5</formula1>
    </dataValidation>
  </dataValidations>
  <printOptions horizontalCentered="1" verticalCentered="1"/>
  <pageMargins left="0.59055118110236227" right="0.39370078740157483" top="0.59055118110236227" bottom="0.39370078740157483" header="0" footer="0"/>
  <pageSetup paperSize="9" scale="50" orientation="landscape" r:id="rId1"/>
  <headerFooter>
    <oddHeader>&amp;L&amp;14&amp;A&amp;R&amp;14&amp;D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4" id="{73693BE1-0E15-4DA1-86A7-249B5564DBC3}">
            <xm:f>申込書!$H$22&lt;&gt;""</xm:f>
            <x14:dxf>
              <font>
                <b/>
                <i val="0"/>
                <color theme="1"/>
              </font>
            </x14:dxf>
          </x14:cfRule>
          <xm:sqref>D5</xm:sqref>
        </x14:conditionalFormatting>
        <x14:conditionalFormatting xmlns:xm="http://schemas.microsoft.com/office/excel/2006/main">
          <x14:cfRule type="expression" priority="55" id="{97987E1B-F163-4D3E-8723-C312D3428F1C}">
            <xm:f>申込書!$C$20&lt;&gt;""</xm:f>
            <x14:dxf>
              <font>
                <b/>
                <i val="0"/>
                <color theme="1"/>
              </font>
            </x14:dxf>
          </x14:cfRule>
          <xm:sqref>H2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 filterMode="1">
    <pageSetUpPr fitToPage="1"/>
  </sheetPr>
  <dimension ref="A1:G119"/>
  <sheetViews>
    <sheetView showGridLines="0" topLeftCell="B1" workbookViewId="0">
      <pane ySplit="1" topLeftCell="A2" activePane="bottomLeft" state="frozen"/>
      <selection pane="bottomLeft" activeCell="B1" sqref="B1"/>
    </sheetView>
  </sheetViews>
  <sheetFormatPr defaultColWidth="9" defaultRowHeight="18"/>
  <cols>
    <col min="1" max="1" width="3.90625" style="31" customWidth="1"/>
    <col min="2" max="2" width="106" style="31" customWidth="1"/>
    <col min="3" max="4" width="11" style="46" customWidth="1"/>
    <col min="5" max="5" width="7.7265625" style="31" customWidth="1"/>
    <col min="6" max="6" width="10.90625" style="31" customWidth="1"/>
    <col min="7" max="7" width="5.7265625" style="323" customWidth="1"/>
    <col min="8" max="16384" width="9" style="31"/>
  </cols>
  <sheetData>
    <row r="1" spans="1:7">
      <c r="A1" s="31" t="s">
        <v>200</v>
      </c>
      <c r="B1" s="68" t="s">
        <v>131</v>
      </c>
      <c r="C1" s="68" t="s">
        <v>132</v>
      </c>
      <c r="D1" s="68" t="s">
        <v>133</v>
      </c>
      <c r="E1" s="68" t="s">
        <v>130</v>
      </c>
      <c r="F1" s="68" t="s">
        <v>134</v>
      </c>
    </row>
    <row r="2" spans="1:7">
      <c r="A2" s="121">
        <f>IF(B2&lt;&gt;"",1,0)</f>
        <v>1</v>
      </c>
      <c r="B2" s="66" t="s">
        <v>128</v>
      </c>
      <c r="C2" s="67" t="s">
        <v>119</v>
      </c>
      <c r="D2" s="67" t="s">
        <v>129</v>
      </c>
      <c r="E2" s="53">
        <v>2</v>
      </c>
      <c r="F2" s="52">
        <v>5000</v>
      </c>
    </row>
    <row r="3" spans="1:7">
      <c r="A3" s="121">
        <f t="shared" ref="A3:A97" si="0">IF(B3&lt;&gt;"",1,0)</f>
        <v>1</v>
      </c>
      <c r="B3" s="66" t="s">
        <v>126</v>
      </c>
      <c r="C3" s="67" t="s">
        <v>119</v>
      </c>
      <c r="D3" s="67" t="s">
        <v>127</v>
      </c>
      <c r="E3" s="53">
        <v>2</v>
      </c>
      <c r="F3" s="52">
        <v>5000</v>
      </c>
    </row>
    <row r="4" spans="1:7">
      <c r="A4" s="121">
        <f t="shared" si="0"/>
        <v>1</v>
      </c>
      <c r="B4" s="66" t="s">
        <v>124</v>
      </c>
      <c r="C4" s="67" t="s">
        <v>119</v>
      </c>
      <c r="D4" s="67" t="s">
        <v>125</v>
      </c>
      <c r="E4" s="53">
        <v>2</v>
      </c>
      <c r="F4" s="52">
        <v>5000</v>
      </c>
    </row>
    <row r="5" spans="1:7">
      <c r="A5" s="121">
        <f t="shared" si="0"/>
        <v>1</v>
      </c>
      <c r="B5" s="66" t="s">
        <v>122</v>
      </c>
      <c r="C5" s="67" t="s">
        <v>119</v>
      </c>
      <c r="D5" s="67" t="s">
        <v>123</v>
      </c>
      <c r="E5" s="53">
        <v>2</v>
      </c>
      <c r="F5" s="52">
        <v>5000</v>
      </c>
    </row>
    <row r="6" spans="1:7">
      <c r="A6" s="121">
        <f t="shared" si="0"/>
        <v>1</v>
      </c>
      <c r="B6" s="66" t="s">
        <v>120</v>
      </c>
      <c r="C6" s="67" t="s">
        <v>119</v>
      </c>
      <c r="D6" s="67" t="s">
        <v>121</v>
      </c>
      <c r="E6" s="53">
        <v>2</v>
      </c>
      <c r="F6" s="52">
        <v>5000</v>
      </c>
    </row>
    <row r="7" spans="1:7">
      <c r="A7" s="121">
        <f t="shared" si="0"/>
        <v>1</v>
      </c>
      <c r="B7" s="66" t="s">
        <v>118</v>
      </c>
      <c r="C7" s="67" t="s">
        <v>119</v>
      </c>
      <c r="D7" s="67" t="s">
        <v>375</v>
      </c>
      <c r="E7" s="53">
        <v>2</v>
      </c>
      <c r="F7" s="52">
        <v>5000</v>
      </c>
    </row>
    <row r="8" spans="1:7">
      <c r="A8" s="121">
        <f t="shared" si="0"/>
        <v>1</v>
      </c>
      <c r="B8" s="66" t="s">
        <v>376</v>
      </c>
      <c r="C8" s="67" t="s">
        <v>119</v>
      </c>
      <c r="D8" s="67" t="s">
        <v>373</v>
      </c>
      <c r="E8" s="53">
        <v>2</v>
      </c>
      <c r="F8" s="52">
        <v>5000</v>
      </c>
      <c r="G8" s="31"/>
    </row>
    <row r="9" spans="1:7">
      <c r="A9" s="121">
        <f t="shared" si="0"/>
        <v>1</v>
      </c>
      <c r="B9" s="66" t="s">
        <v>377</v>
      </c>
      <c r="C9" s="67" t="s">
        <v>119</v>
      </c>
      <c r="D9" s="67" t="s">
        <v>374</v>
      </c>
      <c r="E9" s="53">
        <v>2</v>
      </c>
      <c r="F9" s="52">
        <v>5000</v>
      </c>
      <c r="G9" s="31"/>
    </row>
    <row r="10" spans="1:7">
      <c r="A10" s="121">
        <f t="shared" si="0"/>
        <v>1</v>
      </c>
      <c r="B10" s="66" t="s">
        <v>411</v>
      </c>
      <c r="C10" s="67" t="s">
        <v>119</v>
      </c>
      <c r="D10" s="67" t="s">
        <v>409</v>
      </c>
      <c r="E10" s="53">
        <v>2</v>
      </c>
      <c r="F10" s="52">
        <v>5000</v>
      </c>
      <c r="G10" s="31"/>
    </row>
    <row r="11" spans="1:7">
      <c r="A11" s="121">
        <f t="shared" si="0"/>
        <v>1</v>
      </c>
      <c r="B11" s="66" t="s">
        <v>412</v>
      </c>
      <c r="C11" s="67" t="s">
        <v>119</v>
      </c>
      <c r="D11" s="67" t="s">
        <v>410</v>
      </c>
      <c r="E11" s="53">
        <v>2</v>
      </c>
      <c r="F11" s="52">
        <v>5000</v>
      </c>
      <c r="G11" s="31"/>
    </row>
    <row r="12" spans="1:7" hidden="1">
      <c r="A12" s="121">
        <f t="shared" si="0"/>
        <v>0</v>
      </c>
      <c r="B12" s="66"/>
      <c r="C12" s="67"/>
      <c r="D12" s="67"/>
      <c r="E12" s="53"/>
      <c r="F12" s="52"/>
      <c r="G12" s="31"/>
    </row>
    <row r="13" spans="1:7">
      <c r="A13" s="121">
        <f t="shared" si="0"/>
        <v>1</v>
      </c>
      <c r="B13" s="64" t="s">
        <v>116</v>
      </c>
      <c r="C13" s="65" t="s">
        <v>102</v>
      </c>
      <c r="D13" s="65" t="s">
        <v>117</v>
      </c>
      <c r="E13" s="53">
        <v>2</v>
      </c>
      <c r="F13" s="52">
        <v>3000</v>
      </c>
    </row>
    <row r="14" spans="1:7">
      <c r="A14" s="121">
        <f t="shared" si="0"/>
        <v>1</v>
      </c>
      <c r="B14" s="64" t="s">
        <v>114</v>
      </c>
      <c r="C14" s="65" t="s">
        <v>102</v>
      </c>
      <c r="D14" s="65" t="s">
        <v>115</v>
      </c>
      <c r="E14" s="53">
        <v>2</v>
      </c>
      <c r="F14" s="52">
        <v>3000</v>
      </c>
    </row>
    <row r="15" spans="1:7">
      <c r="A15" s="121">
        <f t="shared" si="0"/>
        <v>1</v>
      </c>
      <c r="B15" s="64" t="s">
        <v>112</v>
      </c>
      <c r="C15" s="65" t="s">
        <v>102</v>
      </c>
      <c r="D15" s="65" t="s">
        <v>113</v>
      </c>
      <c r="E15" s="53">
        <v>2</v>
      </c>
      <c r="F15" s="52">
        <v>3000</v>
      </c>
    </row>
    <row r="16" spans="1:7">
      <c r="A16" s="121">
        <f t="shared" si="0"/>
        <v>1</v>
      </c>
      <c r="B16" s="64" t="s">
        <v>110</v>
      </c>
      <c r="C16" s="65" t="s">
        <v>102</v>
      </c>
      <c r="D16" s="65" t="s">
        <v>111</v>
      </c>
      <c r="E16" s="53">
        <v>2</v>
      </c>
      <c r="F16" s="52">
        <v>3000</v>
      </c>
    </row>
    <row r="17" spans="1:7">
      <c r="A17" s="121">
        <f t="shared" si="0"/>
        <v>1</v>
      </c>
      <c r="B17" s="64" t="s">
        <v>108</v>
      </c>
      <c r="C17" s="65" t="s">
        <v>102</v>
      </c>
      <c r="D17" s="65" t="s">
        <v>109</v>
      </c>
      <c r="E17" s="53">
        <v>2</v>
      </c>
      <c r="F17" s="52">
        <v>3000</v>
      </c>
    </row>
    <row r="18" spans="1:7">
      <c r="A18" s="121">
        <f t="shared" si="0"/>
        <v>1</v>
      </c>
      <c r="B18" s="64" t="s">
        <v>106</v>
      </c>
      <c r="C18" s="65" t="s">
        <v>102</v>
      </c>
      <c r="D18" s="65" t="s">
        <v>107</v>
      </c>
      <c r="E18" s="53">
        <v>2</v>
      </c>
      <c r="F18" s="52">
        <v>3000</v>
      </c>
    </row>
    <row r="19" spans="1:7">
      <c r="A19" s="121">
        <f t="shared" si="0"/>
        <v>1</v>
      </c>
      <c r="B19" s="64" t="s">
        <v>104</v>
      </c>
      <c r="C19" s="65" t="s">
        <v>102</v>
      </c>
      <c r="D19" s="65" t="s">
        <v>105</v>
      </c>
      <c r="E19" s="53">
        <v>2</v>
      </c>
      <c r="F19" s="52">
        <v>3000</v>
      </c>
    </row>
    <row r="20" spans="1:7">
      <c r="A20" s="121">
        <f t="shared" si="0"/>
        <v>1</v>
      </c>
      <c r="B20" s="64" t="s">
        <v>101</v>
      </c>
      <c r="C20" s="65" t="s">
        <v>102</v>
      </c>
      <c r="D20" s="65" t="s">
        <v>103</v>
      </c>
      <c r="E20" s="53">
        <v>2</v>
      </c>
      <c r="F20" s="52">
        <v>3000</v>
      </c>
    </row>
    <row r="21" spans="1:7">
      <c r="A21" s="121">
        <f t="shared" si="0"/>
        <v>1</v>
      </c>
      <c r="B21" s="64" t="s">
        <v>136</v>
      </c>
      <c r="C21" s="65" t="s">
        <v>102</v>
      </c>
      <c r="D21" s="65" t="s">
        <v>135</v>
      </c>
      <c r="E21" s="53">
        <v>2</v>
      </c>
      <c r="F21" s="52">
        <v>3000</v>
      </c>
    </row>
    <row r="22" spans="1:7">
      <c r="A22" s="121">
        <f t="shared" si="0"/>
        <v>1</v>
      </c>
      <c r="B22" s="64" t="s">
        <v>406</v>
      </c>
      <c r="C22" s="65" t="s">
        <v>408</v>
      </c>
      <c r="D22" s="65" t="s">
        <v>407</v>
      </c>
      <c r="E22" s="53">
        <v>2</v>
      </c>
      <c r="F22" s="52">
        <v>5000</v>
      </c>
      <c r="G22" s="31"/>
    </row>
    <row r="23" spans="1:7" hidden="1">
      <c r="A23" s="121">
        <f t="shared" si="0"/>
        <v>0</v>
      </c>
      <c r="B23" s="64"/>
      <c r="C23" s="65"/>
      <c r="D23" s="65"/>
      <c r="E23" s="53"/>
      <c r="F23" s="52"/>
      <c r="G23" s="31"/>
    </row>
    <row r="24" spans="1:7" hidden="1">
      <c r="A24" s="121">
        <f t="shared" si="0"/>
        <v>0</v>
      </c>
      <c r="B24" s="64"/>
      <c r="C24" s="65"/>
      <c r="D24" s="65"/>
      <c r="E24" s="53"/>
      <c r="F24" s="52"/>
      <c r="G24" s="31"/>
    </row>
    <row r="25" spans="1:7" hidden="1">
      <c r="A25" s="121">
        <f t="shared" si="0"/>
        <v>0</v>
      </c>
      <c r="B25" s="64"/>
      <c r="C25" s="65"/>
      <c r="D25" s="65"/>
      <c r="E25" s="53"/>
      <c r="F25" s="52"/>
      <c r="G25" s="31"/>
    </row>
    <row r="26" spans="1:7" hidden="1">
      <c r="A26" s="121">
        <f t="shared" si="0"/>
        <v>0</v>
      </c>
      <c r="B26" s="64"/>
      <c r="C26" s="65"/>
      <c r="D26" s="65"/>
      <c r="E26" s="53"/>
      <c r="F26" s="52"/>
      <c r="G26" s="31"/>
    </row>
    <row r="27" spans="1:7" hidden="1">
      <c r="A27" s="121">
        <f t="shared" si="0"/>
        <v>0</v>
      </c>
      <c r="B27" s="60"/>
      <c r="C27" s="62"/>
      <c r="D27" s="62"/>
      <c r="E27" s="63"/>
      <c r="F27" s="457"/>
    </row>
    <row r="28" spans="1:7" hidden="1">
      <c r="A28" s="121">
        <f t="shared" si="0"/>
        <v>0</v>
      </c>
      <c r="B28" s="60"/>
      <c r="C28" s="62"/>
      <c r="D28" s="62"/>
      <c r="E28" s="63"/>
      <c r="F28" s="457"/>
    </row>
    <row r="29" spans="1:7" hidden="1">
      <c r="A29" s="121">
        <f t="shared" si="0"/>
        <v>0</v>
      </c>
      <c r="B29" s="60"/>
      <c r="C29" s="62"/>
      <c r="D29" s="62"/>
      <c r="E29" s="61"/>
      <c r="F29" s="457"/>
    </row>
    <row r="30" spans="1:7" hidden="1">
      <c r="A30" s="121">
        <f t="shared" si="0"/>
        <v>0</v>
      </c>
      <c r="B30" s="60"/>
      <c r="C30" s="62"/>
      <c r="D30" s="62"/>
      <c r="E30" s="63"/>
      <c r="F30" s="457"/>
      <c r="G30" s="31"/>
    </row>
    <row r="31" spans="1:7" hidden="1">
      <c r="A31" s="121">
        <f t="shared" si="0"/>
        <v>0</v>
      </c>
      <c r="B31" s="60"/>
      <c r="C31" s="62"/>
      <c r="D31" s="62"/>
      <c r="E31" s="63"/>
      <c r="F31" s="457"/>
      <c r="G31" s="31"/>
    </row>
    <row r="32" spans="1:7" hidden="1">
      <c r="A32" s="121">
        <f t="shared" si="0"/>
        <v>0</v>
      </c>
      <c r="B32" s="60"/>
      <c r="C32" s="62"/>
      <c r="D32" s="62"/>
      <c r="E32" s="61"/>
      <c r="F32" s="457"/>
      <c r="G32" s="31"/>
    </row>
    <row r="33" spans="1:7" hidden="1">
      <c r="A33" s="121">
        <f t="shared" si="0"/>
        <v>0</v>
      </c>
      <c r="B33" s="122"/>
      <c r="C33" s="123"/>
      <c r="D33" s="123"/>
      <c r="E33" s="124"/>
      <c r="F33" s="124"/>
      <c r="G33" s="31"/>
    </row>
    <row r="34" spans="1:7" hidden="1">
      <c r="A34" s="121">
        <f t="shared" si="0"/>
        <v>0</v>
      </c>
      <c r="B34" s="122"/>
      <c r="C34" s="123"/>
      <c r="D34" s="123"/>
      <c r="E34" s="124"/>
      <c r="F34" s="124"/>
      <c r="G34" s="31"/>
    </row>
    <row r="35" spans="1:7" hidden="1">
      <c r="A35" s="121">
        <f t="shared" si="0"/>
        <v>0</v>
      </c>
      <c r="B35" s="56"/>
      <c r="C35" s="59"/>
      <c r="D35" s="59"/>
      <c r="E35" s="58"/>
      <c r="F35" s="57"/>
    </row>
    <row r="36" spans="1:7" hidden="1">
      <c r="A36" s="121">
        <f t="shared" si="0"/>
        <v>0</v>
      </c>
      <c r="B36" s="56"/>
      <c r="C36" s="59"/>
      <c r="D36" s="59"/>
      <c r="E36" s="58"/>
      <c r="F36" s="57"/>
      <c r="G36" s="31"/>
    </row>
    <row r="37" spans="1:7" hidden="1">
      <c r="A37" s="121">
        <f t="shared" si="0"/>
        <v>0</v>
      </c>
      <c r="B37" s="56"/>
      <c r="C37" s="59"/>
      <c r="D37" s="59"/>
      <c r="E37" s="58"/>
      <c r="F37" s="57"/>
      <c r="G37" s="31"/>
    </row>
    <row r="38" spans="1:7" hidden="1">
      <c r="A38" s="121">
        <f t="shared" si="0"/>
        <v>0</v>
      </c>
      <c r="B38" s="56"/>
      <c r="C38" s="59"/>
      <c r="D38" s="59"/>
      <c r="E38" s="58"/>
      <c r="F38" s="57"/>
      <c r="G38" s="31"/>
    </row>
    <row r="39" spans="1:7" hidden="1">
      <c r="A39" s="121">
        <f t="shared" si="0"/>
        <v>0</v>
      </c>
      <c r="B39" s="56"/>
      <c r="C39" s="59"/>
      <c r="D39" s="59"/>
      <c r="E39" s="58"/>
      <c r="F39" s="57"/>
      <c r="G39" s="31"/>
    </row>
    <row r="40" spans="1:7" hidden="1">
      <c r="A40" s="121">
        <f t="shared" si="0"/>
        <v>0</v>
      </c>
      <c r="B40" s="56"/>
      <c r="C40" s="59"/>
      <c r="D40" s="59"/>
      <c r="E40" s="58"/>
      <c r="F40" s="57"/>
      <c r="G40" s="31"/>
    </row>
    <row r="41" spans="1:7">
      <c r="A41" s="121">
        <f t="shared" si="0"/>
        <v>1</v>
      </c>
      <c r="B41" s="47" t="s">
        <v>138</v>
      </c>
      <c r="C41" s="55" t="s">
        <v>78</v>
      </c>
      <c r="D41" s="55" t="s">
        <v>100</v>
      </c>
      <c r="E41" s="53">
        <v>3</v>
      </c>
      <c r="F41" s="52">
        <v>2700</v>
      </c>
    </row>
    <row r="42" spans="1:7">
      <c r="A42" s="121">
        <f t="shared" si="0"/>
        <v>1</v>
      </c>
      <c r="B42" s="47" t="s">
        <v>139</v>
      </c>
      <c r="C42" s="55" t="s">
        <v>78</v>
      </c>
      <c r="D42" s="55" t="s">
        <v>99</v>
      </c>
      <c r="E42" s="53">
        <v>3</v>
      </c>
      <c r="F42" s="52">
        <v>3100</v>
      </c>
    </row>
    <row r="43" spans="1:7">
      <c r="A43" s="121">
        <f t="shared" si="0"/>
        <v>1</v>
      </c>
      <c r="B43" s="47" t="s">
        <v>140</v>
      </c>
      <c r="C43" s="55" t="s">
        <v>78</v>
      </c>
      <c r="D43" s="55" t="s">
        <v>98</v>
      </c>
      <c r="E43" s="53">
        <v>3</v>
      </c>
      <c r="F43" s="52">
        <v>3100</v>
      </c>
    </row>
    <row r="44" spans="1:7">
      <c r="A44" s="121">
        <f t="shared" si="0"/>
        <v>1</v>
      </c>
      <c r="B44" s="47" t="s">
        <v>141</v>
      </c>
      <c r="C44" s="55" t="s">
        <v>78</v>
      </c>
      <c r="D44" s="55" t="s">
        <v>97</v>
      </c>
      <c r="E44" s="53">
        <v>3</v>
      </c>
      <c r="F44" s="52">
        <v>3100</v>
      </c>
    </row>
    <row r="45" spans="1:7">
      <c r="A45" s="121">
        <f t="shared" si="0"/>
        <v>1</v>
      </c>
      <c r="B45" s="47" t="s">
        <v>142</v>
      </c>
      <c r="C45" s="55" t="s">
        <v>78</v>
      </c>
      <c r="D45" s="55" t="s">
        <v>96</v>
      </c>
      <c r="E45" s="53">
        <v>3</v>
      </c>
      <c r="F45" s="52">
        <v>3100</v>
      </c>
    </row>
    <row r="46" spans="1:7">
      <c r="A46" s="121">
        <f t="shared" si="0"/>
        <v>1</v>
      </c>
      <c r="B46" s="47" t="s">
        <v>137</v>
      </c>
      <c r="C46" s="55" t="s">
        <v>78</v>
      </c>
      <c r="D46" s="55" t="s">
        <v>95</v>
      </c>
      <c r="E46" s="53">
        <v>3</v>
      </c>
      <c r="F46" s="52">
        <v>3100</v>
      </c>
    </row>
    <row r="47" spans="1:7">
      <c r="A47" s="121">
        <f t="shared" si="0"/>
        <v>1</v>
      </c>
      <c r="B47" s="47" t="s">
        <v>143</v>
      </c>
      <c r="C47" s="55" t="s">
        <v>78</v>
      </c>
      <c r="D47" s="55" t="s">
        <v>94</v>
      </c>
      <c r="E47" s="53">
        <v>3</v>
      </c>
      <c r="F47" s="52">
        <v>3100</v>
      </c>
    </row>
    <row r="48" spans="1:7">
      <c r="A48" s="121">
        <f t="shared" si="0"/>
        <v>1</v>
      </c>
      <c r="B48" s="47" t="s">
        <v>144</v>
      </c>
      <c r="C48" s="55" t="s">
        <v>78</v>
      </c>
      <c r="D48" s="55" t="s">
        <v>93</v>
      </c>
      <c r="E48" s="53">
        <v>3</v>
      </c>
      <c r="F48" s="52">
        <v>3100</v>
      </c>
    </row>
    <row r="49" spans="1:7">
      <c r="A49" s="121">
        <f t="shared" si="0"/>
        <v>1</v>
      </c>
      <c r="B49" s="47" t="s">
        <v>145</v>
      </c>
      <c r="C49" s="55" t="s">
        <v>78</v>
      </c>
      <c r="D49" s="55" t="s">
        <v>92</v>
      </c>
      <c r="E49" s="53">
        <v>3</v>
      </c>
      <c r="F49" s="52">
        <v>3100</v>
      </c>
    </row>
    <row r="50" spans="1:7">
      <c r="A50" s="121">
        <f t="shared" si="0"/>
        <v>1</v>
      </c>
      <c r="B50" s="47" t="s">
        <v>90</v>
      </c>
      <c r="C50" s="55" t="s">
        <v>78</v>
      </c>
      <c r="D50" s="55" t="s">
        <v>91</v>
      </c>
      <c r="E50" s="53">
        <v>3</v>
      </c>
      <c r="F50" s="52">
        <v>2900</v>
      </c>
    </row>
    <row r="51" spans="1:7">
      <c r="A51" s="121">
        <f t="shared" si="0"/>
        <v>1</v>
      </c>
      <c r="B51" s="47" t="s">
        <v>88</v>
      </c>
      <c r="C51" s="55" t="s">
        <v>78</v>
      </c>
      <c r="D51" s="55" t="s">
        <v>89</v>
      </c>
      <c r="E51" s="53">
        <v>3</v>
      </c>
      <c r="F51" s="52">
        <v>2900</v>
      </c>
    </row>
    <row r="52" spans="1:7">
      <c r="A52" s="121">
        <f t="shared" si="0"/>
        <v>1</v>
      </c>
      <c r="B52" s="47" t="s">
        <v>86</v>
      </c>
      <c r="C52" s="55" t="s">
        <v>78</v>
      </c>
      <c r="D52" s="55" t="s">
        <v>87</v>
      </c>
      <c r="E52" s="53">
        <v>3</v>
      </c>
      <c r="F52" s="52">
        <v>2900</v>
      </c>
    </row>
    <row r="53" spans="1:7">
      <c r="A53" s="121">
        <f t="shared" si="0"/>
        <v>1</v>
      </c>
      <c r="B53" s="47" t="s">
        <v>84</v>
      </c>
      <c r="C53" s="55" t="s">
        <v>78</v>
      </c>
      <c r="D53" s="50" t="s">
        <v>85</v>
      </c>
      <c r="E53" s="53">
        <v>3</v>
      </c>
      <c r="F53" s="52">
        <v>2700</v>
      </c>
    </row>
    <row r="54" spans="1:7">
      <c r="A54" s="121">
        <f t="shared" si="0"/>
        <v>1</v>
      </c>
      <c r="B54" s="47" t="s">
        <v>82</v>
      </c>
      <c r="C54" s="55" t="s">
        <v>78</v>
      </c>
      <c r="D54" s="55" t="s">
        <v>83</v>
      </c>
      <c r="E54" s="53">
        <v>3</v>
      </c>
      <c r="F54" s="52">
        <v>2900</v>
      </c>
    </row>
    <row r="55" spans="1:7">
      <c r="A55" s="121">
        <f t="shared" si="0"/>
        <v>1</v>
      </c>
      <c r="B55" s="47" t="s">
        <v>80</v>
      </c>
      <c r="C55" s="55" t="s">
        <v>78</v>
      </c>
      <c r="D55" s="55" t="s">
        <v>81</v>
      </c>
      <c r="E55" s="53">
        <v>3</v>
      </c>
      <c r="F55" s="52">
        <v>2900</v>
      </c>
    </row>
    <row r="56" spans="1:7">
      <c r="A56" s="121">
        <f t="shared" si="0"/>
        <v>1</v>
      </c>
      <c r="B56" s="47" t="s">
        <v>77</v>
      </c>
      <c r="C56" s="55" t="s">
        <v>78</v>
      </c>
      <c r="D56" s="55" t="s">
        <v>79</v>
      </c>
      <c r="E56" s="53">
        <v>3</v>
      </c>
      <c r="F56" s="52">
        <v>2900</v>
      </c>
    </row>
    <row r="57" spans="1:7">
      <c r="A57" s="121">
        <f t="shared" si="0"/>
        <v>1</v>
      </c>
      <c r="B57" s="47" t="s">
        <v>464</v>
      </c>
      <c r="C57" s="55" t="s">
        <v>78</v>
      </c>
      <c r="D57" s="55" t="s">
        <v>466</v>
      </c>
      <c r="E57" s="53">
        <v>3</v>
      </c>
      <c r="F57" s="52">
        <v>2900</v>
      </c>
      <c r="G57" s="31"/>
    </row>
    <row r="58" spans="1:7">
      <c r="A58" s="121">
        <f t="shared" si="0"/>
        <v>1</v>
      </c>
      <c r="B58" s="47" t="s">
        <v>465</v>
      </c>
      <c r="C58" s="55" t="s">
        <v>78</v>
      </c>
      <c r="D58" s="55" t="s">
        <v>467</v>
      </c>
      <c r="E58" s="53">
        <v>3</v>
      </c>
      <c r="F58" s="52">
        <v>2700</v>
      </c>
      <c r="G58" s="31"/>
    </row>
    <row r="59" spans="1:7">
      <c r="A59" s="121">
        <f t="shared" si="0"/>
        <v>1</v>
      </c>
      <c r="B59" s="47" t="s">
        <v>486</v>
      </c>
      <c r="C59" s="55" t="s">
        <v>78</v>
      </c>
      <c r="D59" s="55" t="s">
        <v>485</v>
      </c>
      <c r="E59" s="53">
        <v>3</v>
      </c>
      <c r="F59" s="52">
        <v>2900</v>
      </c>
      <c r="G59" s="31"/>
    </row>
    <row r="60" spans="1:7" hidden="1">
      <c r="A60" s="121">
        <f t="shared" si="0"/>
        <v>0</v>
      </c>
      <c r="B60" s="47"/>
      <c r="C60" s="55"/>
      <c r="D60" s="55"/>
      <c r="E60" s="53"/>
      <c r="F60" s="52"/>
      <c r="G60" s="31"/>
    </row>
    <row r="61" spans="1:7" hidden="1">
      <c r="A61" s="121">
        <f t="shared" si="0"/>
        <v>0</v>
      </c>
      <c r="B61" s="47"/>
      <c r="C61" s="55"/>
      <c r="D61" s="55"/>
      <c r="E61" s="53"/>
      <c r="F61" s="52"/>
      <c r="G61" s="31"/>
    </row>
    <row r="62" spans="1:7">
      <c r="A62" s="121">
        <f t="shared" si="0"/>
        <v>1</v>
      </c>
      <c r="B62" s="47" t="s">
        <v>146</v>
      </c>
      <c r="C62" s="55" t="s">
        <v>65</v>
      </c>
      <c r="D62" s="55" t="s">
        <v>76</v>
      </c>
      <c r="E62" s="53">
        <v>3</v>
      </c>
      <c r="F62" s="52">
        <v>2900</v>
      </c>
    </row>
    <row r="63" spans="1:7">
      <c r="A63" s="121">
        <f t="shared" si="0"/>
        <v>1</v>
      </c>
      <c r="B63" s="47" t="s">
        <v>147</v>
      </c>
      <c r="C63" s="55" t="s">
        <v>65</v>
      </c>
      <c r="D63" s="55" t="s">
        <v>75</v>
      </c>
      <c r="E63" s="53">
        <v>3</v>
      </c>
      <c r="F63" s="52">
        <v>2900</v>
      </c>
    </row>
    <row r="64" spans="1:7">
      <c r="A64" s="121">
        <f t="shared" si="0"/>
        <v>1</v>
      </c>
      <c r="B64" s="47" t="s">
        <v>148</v>
      </c>
      <c r="C64" s="55" t="s">
        <v>65</v>
      </c>
      <c r="D64" s="55" t="s">
        <v>74</v>
      </c>
      <c r="E64" s="53">
        <v>3</v>
      </c>
      <c r="F64" s="52">
        <v>2700</v>
      </c>
    </row>
    <row r="65" spans="1:7">
      <c r="A65" s="121">
        <f t="shared" si="0"/>
        <v>1</v>
      </c>
      <c r="B65" s="47" t="s">
        <v>149</v>
      </c>
      <c r="C65" s="55" t="s">
        <v>65</v>
      </c>
      <c r="D65" s="55" t="s">
        <v>73</v>
      </c>
      <c r="E65" s="53">
        <v>3</v>
      </c>
      <c r="F65" s="52">
        <v>2700</v>
      </c>
    </row>
    <row r="66" spans="1:7">
      <c r="A66" s="121">
        <f t="shared" si="0"/>
        <v>1</v>
      </c>
      <c r="B66" s="47" t="s">
        <v>150</v>
      </c>
      <c r="C66" s="55" t="s">
        <v>65</v>
      </c>
      <c r="D66" s="55" t="s">
        <v>72</v>
      </c>
      <c r="E66" s="53">
        <v>3</v>
      </c>
      <c r="F66" s="52">
        <v>2700</v>
      </c>
    </row>
    <row r="67" spans="1:7">
      <c r="A67" s="121">
        <f t="shared" si="0"/>
        <v>1</v>
      </c>
      <c r="B67" s="47" t="s">
        <v>151</v>
      </c>
      <c r="C67" s="55" t="s">
        <v>65</v>
      </c>
      <c r="D67" s="55" t="s">
        <v>71</v>
      </c>
      <c r="E67" s="53">
        <v>3</v>
      </c>
      <c r="F67" s="52">
        <v>2700</v>
      </c>
    </row>
    <row r="68" spans="1:7">
      <c r="A68" s="121">
        <f t="shared" si="0"/>
        <v>1</v>
      </c>
      <c r="B68" s="47" t="s">
        <v>152</v>
      </c>
      <c r="C68" s="55" t="s">
        <v>65</v>
      </c>
      <c r="D68" s="55" t="s">
        <v>70</v>
      </c>
      <c r="E68" s="53">
        <v>3</v>
      </c>
      <c r="F68" s="52">
        <v>2700</v>
      </c>
    </row>
    <row r="69" spans="1:7">
      <c r="A69" s="121">
        <f t="shared" si="0"/>
        <v>1</v>
      </c>
      <c r="B69" s="47" t="s">
        <v>153</v>
      </c>
      <c r="C69" s="55" t="s">
        <v>65</v>
      </c>
      <c r="D69" s="55" t="s">
        <v>69</v>
      </c>
      <c r="E69" s="53">
        <v>3</v>
      </c>
      <c r="F69" s="52">
        <v>2700</v>
      </c>
    </row>
    <row r="70" spans="1:7">
      <c r="A70" s="121">
        <f t="shared" si="0"/>
        <v>1</v>
      </c>
      <c r="B70" s="47" t="s">
        <v>67</v>
      </c>
      <c r="C70" s="55" t="s">
        <v>65</v>
      </c>
      <c r="D70" s="55" t="s">
        <v>68</v>
      </c>
      <c r="E70" s="53">
        <v>3</v>
      </c>
      <c r="F70" s="52">
        <v>2700</v>
      </c>
    </row>
    <row r="71" spans="1:7">
      <c r="A71" s="121">
        <f t="shared" si="0"/>
        <v>1</v>
      </c>
      <c r="B71" s="47" t="s">
        <v>64</v>
      </c>
      <c r="C71" s="55" t="s">
        <v>65</v>
      </c>
      <c r="D71" s="55" t="s">
        <v>66</v>
      </c>
      <c r="E71" s="53">
        <v>3</v>
      </c>
      <c r="F71" s="52">
        <v>2700</v>
      </c>
    </row>
    <row r="72" spans="1:7" hidden="1">
      <c r="A72" s="121">
        <f t="shared" si="0"/>
        <v>0</v>
      </c>
      <c r="B72" s="47"/>
      <c r="C72" s="55"/>
      <c r="D72" s="55"/>
      <c r="E72" s="53"/>
      <c r="F72" s="53"/>
      <c r="G72" s="31"/>
    </row>
    <row r="73" spans="1:7" hidden="1">
      <c r="A73" s="121">
        <f t="shared" si="0"/>
        <v>0</v>
      </c>
      <c r="B73" s="47"/>
      <c r="C73" s="55"/>
      <c r="D73" s="55"/>
      <c r="E73" s="53"/>
      <c r="F73" s="53"/>
      <c r="G73" s="31"/>
    </row>
    <row r="74" spans="1:7" hidden="1">
      <c r="A74" s="121">
        <f t="shared" si="0"/>
        <v>0</v>
      </c>
      <c r="B74" s="47"/>
      <c r="C74" s="55"/>
      <c r="D74" s="55"/>
      <c r="E74" s="53"/>
      <c r="F74" s="53"/>
      <c r="G74" s="31"/>
    </row>
    <row r="75" spans="1:7" hidden="1">
      <c r="A75" s="121">
        <f t="shared" si="0"/>
        <v>0</v>
      </c>
      <c r="B75" s="47"/>
      <c r="C75" s="55"/>
      <c r="D75" s="55"/>
      <c r="E75" s="53"/>
      <c r="F75" s="53"/>
      <c r="G75" s="31"/>
    </row>
    <row r="76" spans="1:7" hidden="1">
      <c r="A76" s="121">
        <f t="shared" si="0"/>
        <v>0</v>
      </c>
      <c r="B76" s="47"/>
      <c r="C76" s="55"/>
      <c r="D76" s="55"/>
      <c r="E76" s="53"/>
      <c r="F76" s="53"/>
      <c r="G76" s="31"/>
    </row>
    <row r="77" spans="1:7">
      <c r="A77" s="121">
        <f t="shared" si="0"/>
        <v>1</v>
      </c>
      <c r="B77" s="47" t="s">
        <v>154</v>
      </c>
      <c r="C77" s="55" t="s">
        <v>43</v>
      </c>
      <c r="D77" s="55" t="s">
        <v>63</v>
      </c>
      <c r="E77" s="53">
        <v>3</v>
      </c>
      <c r="F77" s="52">
        <v>2500</v>
      </c>
    </row>
    <row r="78" spans="1:7">
      <c r="A78" s="121">
        <f t="shared" si="0"/>
        <v>1</v>
      </c>
      <c r="B78" s="47" t="s">
        <v>155</v>
      </c>
      <c r="C78" s="55" t="s">
        <v>43</v>
      </c>
      <c r="D78" s="55" t="s">
        <v>62</v>
      </c>
      <c r="E78" s="53">
        <v>3</v>
      </c>
      <c r="F78" s="458">
        <v>2500</v>
      </c>
    </row>
    <row r="79" spans="1:7">
      <c r="A79" s="121">
        <f t="shared" si="0"/>
        <v>1</v>
      </c>
      <c r="B79" s="47" t="s">
        <v>156</v>
      </c>
      <c r="C79" s="55" t="s">
        <v>43</v>
      </c>
      <c r="D79" s="55" t="s">
        <v>61</v>
      </c>
      <c r="E79" s="53">
        <v>3</v>
      </c>
      <c r="F79" s="458">
        <v>2500</v>
      </c>
    </row>
    <row r="80" spans="1:7">
      <c r="A80" s="121">
        <f t="shared" si="0"/>
        <v>1</v>
      </c>
      <c r="B80" s="47" t="s">
        <v>157</v>
      </c>
      <c r="C80" s="55" t="s">
        <v>43</v>
      </c>
      <c r="D80" s="55" t="s">
        <v>60</v>
      </c>
      <c r="E80" s="53">
        <v>3</v>
      </c>
      <c r="F80" s="52">
        <v>2500</v>
      </c>
    </row>
    <row r="81" spans="1:6" ht="13.5" customHeight="1">
      <c r="A81" s="121">
        <f t="shared" si="0"/>
        <v>1</v>
      </c>
      <c r="B81" s="69" t="s">
        <v>158</v>
      </c>
      <c r="C81" s="55" t="s">
        <v>43</v>
      </c>
      <c r="D81" s="55" t="s">
        <v>59</v>
      </c>
      <c r="E81" s="53">
        <v>3</v>
      </c>
      <c r="F81" s="54">
        <v>2500</v>
      </c>
    </row>
    <row r="82" spans="1:6">
      <c r="A82" s="121">
        <f t="shared" si="0"/>
        <v>1</v>
      </c>
      <c r="B82" s="47" t="s">
        <v>159</v>
      </c>
      <c r="C82" s="55" t="s">
        <v>43</v>
      </c>
      <c r="D82" s="55" t="s">
        <v>58</v>
      </c>
      <c r="E82" s="53">
        <v>3</v>
      </c>
      <c r="F82" s="54">
        <v>2500</v>
      </c>
    </row>
    <row r="83" spans="1:6" ht="13.5" customHeight="1">
      <c r="A83" s="121">
        <f t="shared" si="0"/>
        <v>1</v>
      </c>
      <c r="B83" s="69" t="s">
        <v>160</v>
      </c>
      <c r="C83" s="55" t="s">
        <v>43</v>
      </c>
      <c r="D83" s="55" t="s">
        <v>57</v>
      </c>
      <c r="E83" s="53">
        <v>3</v>
      </c>
      <c r="F83" s="54">
        <v>2500</v>
      </c>
    </row>
    <row r="84" spans="1:6">
      <c r="A84" s="121">
        <f t="shared" si="0"/>
        <v>1</v>
      </c>
      <c r="B84" s="47" t="s">
        <v>161</v>
      </c>
      <c r="C84" s="55" t="s">
        <v>43</v>
      </c>
      <c r="D84" s="55" t="s">
        <v>56</v>
      </c>
      <c r="E84" s="53">
        <v>3</v>
      </c>
      <c r="F84" s="54">
        <v>2500</v>
      </c>
    </row>
    <row r="85" spans="1:6" ht="13.5" customHeight="1">
      <c r="A85" s="121">
        <f t="shared" si="0"/>
        <v>1</v>
      </c>
      <c r="B85" s="47" t="s">
        <v>162</v>
      </c>
      <c r="C85" s="55" t="s">
        <v>43</v>
      </c>
      <c r="D85" s="55" t="s">
        <v>55</v>
      </c>
      <c r="E85" s="53">
        <v>3</v>
      </c>
      <c r="F85" s="54">
        <v>2500</v>
      </c>
    </row>
    <row r="86" spans="1:6">
      <c r="A86" s="121">
        <f t="shared" si="0"/>
        <v>1</v>
      </c>
      <c r="B86" s="47" t="s">
        <v>163</v>
      </c>
      <c r="C86" s="55" t="s">
        <v>43</v>
      </c>
      <c r="D86" s="55" t="s">
        <v>54</v>
      </c>
      <c r="E86" s="53">
        <v>3</v>
      </c>
      <c r="F86" s="54">
        <v>2500</v>
      </c>
    </row>
    <row r="87" spans="1:6" ht="13.5" customHeight="1">
      <c r="A87" s="121">
        <f t="shared" si="0"/>
        <v>1</v>
      </c>
      <c r="B87" s="69" t="s">
        <v>164</v>
      </c>
      <c r="C87" s="55" t="s">
        <v>43</v>
      </c>
      <c r="D87" s="55" t="s">
        <v>53</v>
      </c>
      <c r="E87" s="53">
        <v>3</v>
      </c>
      <c r="F87" s="54">
        <v>2500</v>
      </c>
    </row>
    <row r="88" spans="1:6">
      <c r="A88" s="121">
        <f t="shared" si="0"/>
        <v>1</v>
      </c>
      <c r="B88" s="47" t="s">
        <v>165</v>
      </c>
      <c r="C88" s="55" t="s">
        <v>43</v>
      </c>
      <c r="D88" s="55" t="s">
        <v>52</v>
      </c>
      <c r="E88" s="53">
        <v>3</v>
      </c>
      <c r="F88" s="54">
        <v>2500</v>
      </c>
    </row>
    <row r="89" spans="1:6" ht="13.5" customHeight="1">
      <c r="A89" s="121">
        <f t="shared" si="0"/>
        <v>1</v>
      </c>
      <c r="B89" s="69" t="s">
        <v>166</v>
      </c>
      <c r="C89" s="55" t="s">
        <v>43</v>
      </c>
      <c r="D89" s="55" t="s">
        <v>51</v>
      </c>
      <c r="E89" s="53">
        <v>3</v>
      </c>
      <c r="F89" s="54">
        <v>2500</v>
      </c>
    </row>
    <row r="90" spans="1:6">
      <c r="A90" s="121">
        <f t="shared" si="0"/>
        <v>1</v>
      </c>
      <c r="B90" s="47" t="s">
        <v>168</v>
      </c>
      <c r="C90" s="55" t="s">
        <v>43</v>
      </c>
      <c r="D90" s="55" t="s">
        <v>50</v>
      </c>
      <c r="E90" s="53">
        <v>3</v>
      </c>
      <c r="F90" s="54">
        <v>2500</v>
      </c>
    </row>
    <row r="91" spans="1:6" ht="13.5" customHeight="1">
      <c r="A91" s="121">
        <f t="shared" si="0"/>
        <v>1</v>
      </c>
      <c r="B91" s="69" t="s">
        <v>167</v>
      </c>
      <c r="C91" s="55" t="s">
        <v>43</v>
      </c>
      <c r="D91" s="55" t="s">
        <v>49</v>
      </c>
      <c r="E91" s="53">
        <v>3</v>
      </c>
      <c r="F91" s="54">
        <v>2500</v>
      </c>
    </row>
    <row r="92" spans="1:6">
      <c r="A92" s="121">
        <f t="shared" si="0"/>
        <v>1</v>
      </c>
      <c r="B92" s="47" t="s">
        <v>169</v>
      </c>
      <c r="C92" s="55" t="s">
        <v>43</v>
      </c>
      <c r="D92" s="55" t="s">
        <v>48</v>
      </c>
      <c r="E92" s="53">
        <v>3</v>
      </c>
      <c r="F92" s="54">
        <v>2500</v>
      </c>
    </row>
    <row r="93" spans="1:6" ht="13.5" customHeight="1">
      <c r="A93" s="121">
        <f t="shared" si="0"/>
        <v>1</v>
      </c>
      <c r="B93" s="69" t="s">
        <v>170</v>
      </c>
      <c r="C93" s="55" t="s">
        <v>43</v>
      </c>
      <c r="D93" s="55" t="s">
        <v>47</v>
      </c>
      <c r="E93" s="53">
        <v>3</v>
      </c>
      <c r="F93" s="54">
        <v>2500</v>
      </c>
    </row>
    <row r="94" spans="1:6">
      <c r="A94" s="121">
        <f t="shared" si="0"/>
        <v>1</v>
      </c>
      <c r="B94" s="47" t="s">
        <v>171</v>
      </c>
      <c r="C94" s="55" t="s">
        <v>43</v>
      </c>
      <c r="D94" s="55" t="s">
        <v>46</v>
      </c>
      <c r="E94" s="53">
        <v>3</v>
      </c>
      <c r="F94" s="54">
        <v>2500</v>
      </c>
    </row>
    <row r="95" spans="1:6" ht="13.5" customHeight="1">
      <c r="A95" s="121">
        <f t="shared" si="0"/>
        <v>1</v>
      </c>
      <c r="B95" s="69" t="s">
        <v>172</v>
      </c>
      <c r="C95" s="55" t="s">
        <v>43</v>
      </c>
      <c r="D95" s="55" t="s">
        <v>45</v>
      </c>
      <c r="E95" s="53">
        <v>3</v>
      </c>
      <c r="F95" s="54">
        <v>2500</v>
      </c>
    </row>
    <row r="96" spans="1:6">
      <c r="A96" s="121">
        <f t="shared" si="0"/>
        <v>1</v>
      </c>
      <c r="B96" s="47" t="s">
        <v>173</v>
      </c>
      <c r="C96" s="55" t="s">
        <v>43</v>
      </c>
      <c r="D96" s="55" t="s">
        <v>44</v>
      </c>
      <c r="E96" s="53">
        <v>3</v>
      </c>
      <c r="F96" s="54">
        <v>2500</v>
      </c>
    </row>
    <row r="97" spans="1:7">
      <c r="A97" s="121">
        <f t="shared" si="0"/>
        <v>1</v>
      </c>
      <c r="B97" s="47" t="s">
        <v>468</v>
      </c>
      <c r="C97" s="55" t="s">
        <v>43</v>
      </c>
      <c r="D97" s="55" t="s">
        <v>484</v>
      </c>
      <c r="E97" s="53">
        <v>3</v>
      </c>
      <c r="F97" s="54">
        <v>2500</v>
      </c>
      <c r="G97" s="31"/>
    </row>
    <row r="98" spans="1:7" hidden="1">
      <c r="A98" s="121">
        <f t="shared" ref="A98:A101" si="1">IF(B98&lt;&gt;"",1,0)</f>
        <v>0</v>
      </c>
      <c r="B98" s="47"/>
      <c r="C98" s="55"/>
      <c r="D98" s="50"/>
      <c r="E98" s="53"/>
      <c r="F98" s="54"/>
      <c r="G98" s="31"/>
    </row>
    <row r="99" spans="1:7" hidden="1">
      <c r="A99" s="121">
        <f t="shared" si="1"/>
        <v>0</v>
      </c>
      <c r="B99" s="47"/>
      <c r="C99" s="55"/>
      <c r="D99" s="50"/>
      <c r="E99" s="53"/>
      <c r="F99" s="54"/>
      <c r="G99" s="31"/>
    </row>
    <row r="100" spans="1:7" hidden="1">
      <c r="A100" s="121">
        <f t="shared" si="1"/>
        <v>0</v>
      </c>
      <c r="B100" s="47"/>
      <c r="C100" s="55"/>
      <c r="D100" s="50"/>
      <c r="E100" s="53"/>
      <c r="F100" s="54"/>
      <c r="G100" s="31"/>
    </row>
    <row r="101" spans="1:7" hidden="1">
      <c r="A101" s="121">
        <f t="shared" si="1"/>
        <v>0</v>
      </c>
      <c r="B101" s="47"/>
      <c r="C101" s="55"/>
      <c r="D101" s="50"/>
      <c r="E101" s="53"/>
      <c r="F101" s="54"/>
      <c r="G101" s="31"/>
    </row>
    <row r="102" spans="1:7" hidden="1">
      <c r="A102" s="121"/>
      <c r="B102" s="47"/>
      <c r="C102" s="50"/>
      <c r="D102" s="50"/>
      <c r="E102" s="53"/>
      <c r="F102" s="52"/>
    </row>
    <row r="103" spans="1:7" hidden="1">
      <c r="A103" s="121"/>
      <c r="B103" s="47"/>
      <c r="C103" s="50"/>
      <c r="D103" s="50"/>
      <c r="E103" s="53"/>
      <c r="F103" s="52"/>
    </row>
    <row r="104" spans="1:7" hidden="1">
      <c r="A104" s="121"/>
      <c r="B104" s="47"/>
      <c r="C104" s="50"/>
      <c r="D104" s="50"/>
      <c r="E104" s="53"/>
      <c r="F104" s="52"/>
    </row>
    <row r="105" spans="1:7" hidden="1">
      <c r="A105" s="121">
        <f t="shared" ref="A105:A119" si="2">IF(B105&lt;&gt;"",1,0)</f>
        <v>0</v>
      </c>
      <c r="B105" s="47"/>
      <c r="C105" s="50"/>
      <c r="D105" s="50"/>
      <c r="E105" s="53"/>
      <c r="F105" s="52"/>
      <c r="G105" s="31"/>
    </row>
    <row r="106" spans="1:7" hidden="1">
      <c r="A106" s="121">
        <f t="shared" si="2"/>
        <v>0</v>
      </c>
      <c r="B106" s="47"/>
      <c r="C106" s="50"/>
      <c r="D106" s="50"/>
      <c r="E106" s="53"/>
      <c r="F106" s="52"/>
      <c r="G106" s="31"/>
    </row>
    <row r="107" spans="1:7" hidden="1">
      <c r="A107" s="121">
        <f t="shared" si="2"/>
        <v>0</v>
      </c>
      <c r="B107" s="47"/>
      <c r="C107" s="50"/>
      <c r="D107" s="50"/>
      <c r="E107" s="53"/>
      <c r="F107" s="52"/>
      <c r="G107" s="31"/>
    </row>
    <row r="108" spans="1:7" hidden="1">
      <c r="A108" s="121">
        <f t="shared" si="2"/>
        <v>0</v>
      </c>
      <c r="B108" s="47"/>
      <c r="C108" s="50"/>
      <c r="D108" s="50"/>
      <c r="E108" s="53"/>
      <c r="F108" s="52"/>
      <c r="G108" s="31"/>
    </row>
    <row r="109" spans="1:7" hidden="1">
      <c r="A109" s="121">
        <f t="shared" si="2"/>
        <v>0</v>
      </c>
      <c r="B109" s="47"/>
      <c r="C109" s="50"/>
      <c r="D109" s="50"/>
      <c r="E109" s="53"/>
      <c r="F109" s="52"/>
      <c r="G109" s="31"/>
    </row>
    <row r="110" spans="1:7" hidden="1">
      <c r="A110" s="121"/>
      <c r="B110" s="47"/>
      <c r="C110" s="50"/>
      <c r="D110" s="50"/>
      <c r="E110" s="49"/>
      <c r="F110" s="48"/>
    </row>
    <row r="111" spans="1:7" hidden="1">
      <c r="A111" s="121"/>
      <c r="B111" s="47"/>
      <c r="C111" s="50"/>
      <c r="D111" s="50"/>
      <c r="E111" s="49"/>
      <c r="F111" s="48"/>
    </row>
    <row r="112" spans="1:7" hidden="1">
      <c r="A112" s="121"/>
      <c r="B112" s="47"/>
      <c r="C112" s="50"/>
      <c r="D112" s="50"/>
      <c r="E112" s="49"/>
      <c r="F112" s="48"/>
    </row>
    <row r="113" spans="1:7" hidden="1">
      <c r="A113" s="121"/>
      <c r="B113" s="47"/>
      <c r="C113" s="50"/>
      <c r="D113" s="50"/>
      <c r="E113" s="49"/>
      <c r="F113" s="48"/>
    </row>
    <row r="114" spans="1:7" hidden="1">
      <c r="A114" s="121"/>
      <c r="B114" s="47"/>
      <c r="C114" s="50"/>
      <c r="D114" s="50"/>
      <c r="E114" s="49"/>
      <c r="F114" s="48"/>
    </row>
    <row r="115" spans="1:7" hidden="1">
      <c r="A115" s="121">
        <f t="shared" si="2"/>
        <v>0</v>
      </c>
      <c r="B115" s="47"/>
      <c r="C115" s="50"/>
      <c r="D115" s="50"/>
      <c r="E115" s="49"/>
      <c r="F115" s="48"/>
      <c r="G115" s="31"/>
    </row>
    <row r="116" spans="1:7" hidden="1">
      <c r="A116" s="121">
        <f t="shared" si="2"/>
        <v>0</v>
      </c>
      <c r="B116" s="47"/>
      <c r="C116" s="50"/>
      <c r="D116" s="50"/>
      <c r="E116" s="49"/>
      <c r="F116" s="48"/>
      <c r="G116" s="31"/>
    </row>
    <row r="117" spans="1:7" hidden="1">
      <c r="A117" s="121">
        <f t="shared" si="2"/>
        <v>0</v>
      </c>
      <c r="B117" s="47"/>
      <c r="C117" s="50"/>
      <c r="D117" s="50"/>
      <c r="E117" s="49"/>
      <c r="F117" s="48"/>
      <c r="G117" s="31"/>
    </row>
    <row r="118" spans="1:7" hidden="1">
      <c r="A118" s="121">
        <f t="shared" si="2"/>
        <v>0</v>
      </c>
      <c r="B118" s="47"/>
      <c r="C118" s="50"/>
      <c r="D118" s="50"/>
      <c r="E118" s="49"/>
      <c r="F118" s="48"/>
      <c r="G118" s="31"/>
    </row>
    <row r="119" spans="1:7" hidden="1">
      <c r="A119" s="121">
        <f t="shared" si="2"/>
        <v>0</v>
      </c>
      <c r="B119" s="47"/>
      <c r="C119" s="50"/>
      <c r="D119" s="50"/>
      <c r="E119" s="49"/>
      <c r="F119" s="48"/>
      <c r="G119" s="31"/>
    </row>
  </sheetData>
  <sheetProtection algorithmName="SHA-512" hashValue="W77qe+DTaZlxeZ/j7eRjTNOERP6dYimv+UCH7eQ2oOSVw0XvhtXZfjHgGwFjGq4perhKGl8JJ8DYmY/EYJf6MQ==" saltValue="8E1fQtZjvqcbjYeS0wjMRw==" spinCount="100000" sheet="1" objects="1" scenarios="1"/>
  <autoFilter ref="A1:C119" xr:uid="{00000000-0009-0000-0000-000004000000}">
    <filterColumn colId="0">
      <filters>
        <filter val="1"/>
      </filters>
    </filterColumn>
  </autoFilter>
  <phoneticPr fontId="6"/>
  <printOptions horizontalCentered="1" verticalCentered="1"/>
  <pageMargins left="0.70866141732283472" right="0.11811023622047245" top="0.19685039370078741" bottom="0" header="0.31496062992125984" footer="0.31496062992125984"/>
  <pageSetup paperSize="9"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>
    <pageSetUpPr fitToPage="1"/>
  </sheetPr>
  <dimension ref="A1:T47"/>
  <sheetViews>
    <sheetView zoomScale="86" zoomScaleNormal="86" workbookViewId="0"/>
  </sheetViews>
  <sheetFormatPr defaultColWidth="12.453125" defaultRowHeight="13"/>
  <cols>
    <col min="1" max="1" width="4.08984375" customWidth="1"/>
    <col min="2" max="2" width="5.26953125" style="316" customWidth="1"/>
    <col min="3" max="3" width="4.08984375" style="92" customWidth="1"/>
    <col min="4" max="4" width="5.26953125" customWidth="1"/>
    <col min="5" max="5" width="9.26953125" style="299" customWidth="1"/>
    <col min="6" max="6" width="12.453125" style="92"/>
    <col min="7" max="7" width="8.90625" style="92" customWidth="1"/>
    <col min="8" max="8" width="10" style="92" customWidth="1"/>
    <col min="9" max="9" width="7.453125" style="92" customWidth="1"/>
    <col min="10" max="10" width="6.90625" style="92" customWidth="1"/>
    <col min="11" max="11" width="7.453125" style="92" customWidth="1"/>
    <col min="12" max="12" width="8.90625" style="92" customWidth="1"/>
    <col min="13" max="13" width="11.453125" style="299" customWidth="1"/>
    <col min="14" max="14" width="17.90625" style="92" customWidth="1"/>
    <col min="15" max="15" width="11.7265625" style="92" customWidth="1"/>
    <col min="16" max="16" width="3.08984375" style="92" customWidth="1"/>
    <col min="17" max="17" width="5.90625" customWidth="1"/>
    <col min="18" max="18" width="12.90625" customWidth="1"/>
    <col min="19" max="19" width="26.7265625" bestFit="1" customWidth="1"/>
    <col min="20" max="20" width="10.08984375" customWidth="1"/>
  </cols>
  <sheetData>
    <row r="1" spans="1:20" ht="49.5" customHeight="1">
      <c r="E1" s="335" t="s">
        <v>330</v>
      </c>
      <c r="F1" s="336" t="s">
        <v>338</v>
      </c>
      <c r="G1" s="336" t="s">
        <v>339</v>
      </c>
      <c r="H1" s="336" t="s">
        <v>331</v>
      </c>
      <c r="I1" s="336" t="s">
        <v>332</v>
      </c>
      <c r="J1" s="336" t="s">
        <v>334</v>
      </c>
      <c r="K1" s="336" t="s">
        <v>335</v>
      </c>
      <c r="L1" s="336" t="s">
        <v>337</v>
      </c>
      <c r="M1" s="337" t="s">
        <v>333</v>
      </c>
      <c r="N1" s="338" t="s">
        <v>336</v>
      </c>
      <c r="P1" s="326"/>
      <c r="R1" s="341" t="s">
        <v>321</v>
      </c>
      <c r="S1" s="422" t="s">
        <v>362</v>
      </c>
    </row>
    <row r="2" spans="1:20" ht="13.5" thickBot="1">
      <c r="B2"/>
      <c r="C2"/>
      <c r="E2" s="361">
        <f>申込書!C20</f>
        <v>0</v>
      </c>
      <c r="F2" s="361">
        <f>申込書!H20</f>
        <v>0</v>
      </c>
      <c r="G2" s="339">
        <f>申込書!D17</f>
        <v>0</v>
      </c>
      <c r="H2" s="339">
        <f>申込書!C18</f>
        <v>0</v>
      </c>
      <c r="I2" s="339">
        <f>申込書!F21</f>
        <v>0</v>
      </c>
      <c r="J2" s="339">
        <f>申込書!C23</f>
        <v>0</v>
      </c>
      <c r="K2" s="339">
        <f>申込書!C24</f>
        <v>0</v>
      </c>
      <c r="L2" s="339">
        <f>申込書!F21</f>
        <v>0</v>
      </c>
      <c r="M2" s="339">
        <f>申込書!H22</f>
        <v>0</v>
      </c>
      <c r="N2" s="339">
        <f>申込書!F23</f>
        <v>0</v>
      </c>
      <c r="O2"/>
      <c r="R2" s="300" t="s">
        <v>289</v>
      </c>
      <c r="S2" s="312" t="s">
        <v>294</v>
      </c>
    </row>
    <row r="3" spans="1:20" ht="17" thickBot="1">
      <c r="B3" s="370" t="str">
        <f>受講者登録表!E4</f>
        <v/>
      </c>
      <c r="C3" s="371"/>
      <c r="D3" s="371"/>
      <c r="E3" s="371"/>
      <c r="F3" s="372"/>
      <c r="G3"/>
      <c r="H3"/>
      <c r="I3"/>
      <c r="J3"/>
      <c r="K3"/>
      <c r="L3"/>
      <c r="M3"/>
      <c r="N3"/>
      <c r="O3"/>
      <c r="R3" s="300" t="s">
        <v>288</v>
      </c>
      <c r="S3" s="312" t="s">
        <v>286</v>
      </c>
    </row>
    <row r="4" spans="1:20" ht="16.5">
      <c r="B4" s="362" t="str">
        <f>受講者登録表!D10</f>
        <v/>
      </c>
      <c r="C4"/>
      <c r="E4"/>
      <c r="F4" s="363"/>
      <c r="G4"/>
      <c r="H4"/>
      <c r="I4"/>
      <c r="J4"/>
      <c r="K4"/>
      <c r="L4"/>
      <c r="M4"/>
      <c r="N4"/>
      <c r="O4"/>
      <c r="R4" s="300" t="s">
        <v>290</v>
      </c>
      <c r="S4" s="312" t="s">
        <v>296</v>
      </c>
    </row>
    <row r="5" spans="1:20" ht="16.5">
      <c r="B5" s="362" t="str">
        <f>IF(受講者登録表!W14=1,"全角半角混在","")</f>
        <v/>
      </c>
      <c r="C5"/>
      <c r="E5"/>
      <c r="F5" s="363"/>
      <c r="G5"/>
      <c r="H5"/>
      <c r="I5"/>
      <c r="J5"/>
      <c r="K5"/>
      <c r="L5"/>
      <c r="M5"/>
      <c r="N5"/>
      <c r="O5"/>
      <c r="R5" s="300" t="s">
        <v>378</v>
      </c>
      <c r="S5" s="312" t="s">
        <v>379</v>
      </c>
    </row>
    <row r="6" spans="1:20" ht="16.5">
      <c r="B6" s="362" t="str">
        <f>IF(受講者登録表!X14=1,"メルアドなし","")</f>
        <v/>
      </c>
      <c r="F6" s="364"/>
      <c r="R6" s="300" t="s">
        <v>380</v>
      </c>
      <c r="S6" s="312" t="s">
        <v>381</v>
      </c>
    </row>
    <row r="7" spans="1:20" ht="16.5">
      <c r="B7" s="362" t="str">
        <f>IF(M11=1,"開始日なし","")</f>
        <v>開始日なし</v>
      </c>
      <c r="F7" s="364"/>
      <c r="R7" s="300" t="s">
        <v>291</v>
      </c>
      <c r="S7" s="312" t="s">
        <v>326</v>
      </c>
    </row>
    <row r="8" spans="1:20" ht="17" thickBot="1">
      <c r="B8" s="365" t="str">
        <f>IF(I11&gt;0,"受講者なし","")</f>
        <v/>
      </c>
      <c r="C8" s="366"/>
      <c r="D8" s="367"/>
      <c r="E8" s="368"/>
      <c r="F8" s="369"/>
      <c r="R8" s="300" t="s">
        <v>382</v>
      </c>
      <c r="S8" s="312" t="s">
        <v>295</v>
      </c>
    </row>
    <row r="9" spans="1:20" ht="17" thickBot="1">
      <c r="B9" s="365" t="str">
        <f>IF(K11=1,"部課ｺｰﾄﾞなし","")</f>
        <v>部課ｺｰﾄﾞなし</v>
      </c>
      <c r="C9" s="366"/>
      <c r="D9" s="367"/>
      <c r="E9" s="368"/>
      <c r="F9" s="369"/>
      <c r="R9" s="300" t="s">
        <v>383</v>
      </c>
      <c r="S9" s="312" t="s">
        <v>384</v>
      </c>
    </row>
    <row r="10" spans="1:20">
      <c r="R10" s="300" t="s">
        <v>292</v>
      </c>
      <c r="S10" s="312" t="s">
        <v>327</v>
      </c>
    </row>
    <row r="11" spans="1:20" ht="14">
      <c r="I11" s="342">
        <f>IFERROR(MATCH(0,I13:I25,0),0)</f>
        <v>0</v>
      </c>
      <c r="J11" s="373">
        <f>IF(J13=0,1,0)</f>
        <v>1</v>
      </c>
      <c r="K11" s="373">
        <f>IF(K13=0,1,0)</f>
        <v>1</v>
      </c>
      <c r="L11" s="374"/>
      <c r="M11" s="373">
        <f>IF(M13=0,1,0)</f>
        <v>1</v>
      </c>
      <c r="R11" s="301" t="s">
        <v>293</v>
      </c>
      <c r="S11" s="313" t="s">
        <v>293</v>
      </c>
    </row>
    <row r="12" spans="1:20" ht="55.5" customHeight="1" thickBot="1">
      <c r="A12" s="310" t="s">
        <v>368</v>
      </c>
      <c r="B12" s="315" t="s">
        <v>325</v>
      </c>
      <c r="C12" s="314" t="s">
        <v>322</v>
      </c>
      <c r="D12" s="309" t="s">
        <v>323</v>
      </c>
      <c r="E12" s="317" t="s">
        <v>275</v>
      </c>
      <c r="F12" s="318" t="s">
        <v>276</v>
      </c>
      <c r="G12" s="319" t="s">
        <v>281</v>
      </c>
      <c r="H12" s="319" t="s">
        <v>277</v>
      </c>
      <c r="I12" s="322" t="s">
        <v>324</v>
      </c>
      <c r="J12" s="318" t="s">
        <v>207</v>
      </c>
      <c r="K12" s="321" t="s">
        <v>280</v>
      </c>
      <c r="L12" s="318" t="s">
        <v>283</v>
      </c>
      <c r="M12" s="317" t="s">
        <v>279</v>
      </c>
      <c r="N12" s="320" t="s">
        <v>282</v>
      </c>
      <c r="O12" s="319" t="s">
        <v>278</v>
      </c>
      <c r="R12" s="302" t="s">
        <v>280</v>
      </c>
      <c r="S12" s="302" t="s">
        <v>297</v>
      </c>
      <c r="T12" s="423" t="s">
        <v>328</v>
      </c>
    </row>
    <row r="13" spans="1:20" ht="15.65" customHeight="1" thickTop="1" thickBot="1">
      <c r="A13" s="375" t="e">
        <f>VLOOKUP(K13,$R$13:$T$38,3,FALSE)</f>
        <v>#N/A</v>
      </c>
      <c r="B13" s="446">
        <f>SUM(申込書!J30:J31)</f>
        <v>0</v>
      </c>
      <c r="C13" s="376">
        <f t="shared" ref="C13:C25" si="0">IF(LEFT(O13,3)="fee",0,IF(O13&lt;&gt;"",1,""))</f>
        <v>0</v>
      </c>
      <c r="D13" s="377" t="str">
        <f t="shared" ref="D13:D25" si="1">IF(O13&lt;&gt;"","法人","")</f>
        <v>法人</v>
      </c>
      <c r="E13" s="378">
        <f ca="1">TODAY()</f>
        <v>45686</v>
      </c>
      <c r="F13" s="376" t="s">
        <v>284</v>
      </c>
      <c r="G13" s="379">
        <f>IF(O13&lt;&gt;"",MONTH(申込書!F$16),"")</f>
        <v>1</v>
      </c>
      <c r="H13" s="381" t="s">
        <v>391</v>
      </c>
      <c r="I13" s="380">
        <v>1</v>
      </c>
      <c r="J13" s="376">
        <f>IF(O13&lt;&gt;"",申込書!J$57,"")</f>
        <v>0</v>
      </c>
      <c r="K13" s="376">
        <f>IF(O13&lt;&gt;"",申込書!J$56,"")</f>
        <v>0</v>
      </c>
      <c r="L13" s="381" t="str">
        <f>IFERROR(LEFT(申込書!C18,FIND("県",申込書!C18)),LEFT(申込書!C18,3))</f>
        <v/>
      </c>
      <c r="M13" s="378">
        <f>IF(O13&lt;&gt;"",申込書!F$16,"")</f>
        <v>0</v>
      </c>
      <c r="N13" s="382" t="str">
        <f>IF(O14&lt;&gt;"",申込書!$C$20,"")</f>
        <v/>
      </c>
      <c r="O13" s="383" t="str">
        <f>VLOOKUP(SUM(申込書!J30:J31),fee,2,FALSE)</f>
        <v>fee0</v>
      </c>
      <c r="P13" s="311" t="s">
        <v>349</v>
      </c>
      <c r="R13" s="303" t="s">
        <v>433</v>
      </c>
      <c r="S13" s="304" t="s">
        <v>434</v>
      </c>
      <c r="T13" s="324"/>
    </row>
    <row r="14" spans="1:20" ht="15.65" customHeight="1" thickTop="1">
      <c r="A14" s="449" t="str">
        <f t="shared" ref="A14:A25" si="2">IF(K14&lt;&gt;"",VLOOKUP(K14,$R$13:$T$38,3,FALSE),"")</f>
        <v/>
      </c>
      <c r="B14" s="447" t="str">
        <f>申込書!G35</f>
        <v/>
      </c>
      <c r="C14" s="92" t="str">
        <f t="shared" si="0"/>
        <v/>
      </c>
      <c r="D14" t="str">
        <f t="shared" si="1"/>
        <v/>
      </c>
      <c r="E14" s="299" t="str">
        <f t="shared" ref="E14:E25" si="3">IF(O14&lt;&gt;"",E$13,"")</f>
        <v/>
      </c>
      <c r="F14" s="92" t="str">
        <f t="shared" ref="F14:F25" si="4">IF(O14&lt;&gt;"",$F$13,"")</f>
        <v/>
      </c>
      <c r="G14" s="359" t="str">
        <f>IF(O14&lt;&gt;"",MONTH(申込書!F$16),"")</f>
        <v/>
      </c>
      <c r="H14" s="92" t="str">
        <f>IF(O14&lt;&gt;"",(VLOOKUP(申込書!F$24,きっかけ,2,FALSE)),"")</f>
        <v/>
      </c>
      <c r="I14" s="92" t="str">
        <f>IF(O14&lt;&gt;"",IF(申込書!H35&lt;&gt;"",申込書!H35),"")</f>
        <v/>
      </c>
      <c r="J14" s="92" t="str">
        <f>IF(O14&lt;&gt;"",申込書!J$57,"")</f>
        <v/>
      </c>
      <c r="K14" s="92" t="str">
        <f>IF(O14&lt;&gt;"",申込書!J$56,"")</f>
        <v/>
      </c>
      <c r="L14" s="92" t="str">
        <f t="shared" ref="L14:L25" si="5">IF(O14&lt;&gt;"",L$13,"")</f>
        <v/>
      </c>
      <c r="M14" s="299" t="str">
        <f>IF(O14&lt;&gt;"",申込書!F$16,"")</f>
        <v/>
      </c>
      <c r="N14" s="311" t="str">
        <f>IF(O14&lt;&gt;"",申込書!$C$20,"")</f>
        <v/>
      </c>
      <c r="O14" s="327" t="str">
        <f>IF(申込書!E35&lt;&gt;"",申込書!E35,"")</f>
        <v/>
      </c>
      <c r="P14" s="405" t="str">
        <f>IF(O14&lt;&gt;"",ROW(P14)-13,"")</f>
        <v/>
      </c>
      <c r="R14" s="303" t="s">
        <v>435</v>
      </c>
      <c r="S14" s="304" t="s">
        <v>422</v>
      </c>
      <c r="T14" s="324"/>
    </row>
    <row r="15" spans="1:20" ht="15.65" customHeight="1">
      <c r="A15" s="333" t="str">
        <f t="shared" si="2"/>
        <v/>
      </c>
      <c r="B15" s="447" t="str">
        <f>申込書!G36</f>
        <v/>
      </c>
      <c r="C15" s="92" t="str">
        <f t="shared" si="0"/>
        <v/>
      </c>
      <c r="D15" t="str">
        <f t="shared" si="1"/>
        <v/>
      </c>
      <c r="E15" s="299" t="str">
        <f t="shared" si="3"/>
        <v/>
      </c>
      <c r="F15" s="92" t="str">
        <f t="shared" si="4"/>
        <v/>
      </c>
      <c r="G15" s="359" t="str">
        <f>IF(O15&lt;&gt;"",MONTH(申込書!F$16),"")</f>
        <v/>
      </c>
      <c r="H15" s="92" t="str">
        <f>IF(O15&lt;&gt;"",(VLOOKUP(申込書!F$24,きっかけ,2,FALSE)),"")</f>
        <v/>
      </c>
      <c r="I15" s="92" t="str">
        <f>IF(O15&lt;&gt;"",IF(申込書!H36&lt;&gt;"",申込書!H36),"")</f>
        <v/>
      </c>
      <c r="J15" s="92" t="str">
        <f>IF(O15&lt;&gt;"",申込書!J$57,"")</f>
        <v/>
      </c>
      <c r="K15" s="92" t="str">
        <f>IF(O15&lt;&gt;"",申込書!J$56,"")</f>
        <v/>
      </c>
      <c r="L15" s="92" t="str">
        <f t="shared" si="5"/>
        <v/>
      </c>
      <c r="M15" s="299" t="str">
        <f>IF(O15&lt;&gt;"",申込書!F$16,"")</f>
        <v/>
      </c>
      <c r="N15" s="311" t="str">
        <f>IF(O15&lt;&gt;"",申込書!$C$20,"")</f>
        <v/>
      </c>
      <c r="O15" s="327" t="str">
        <f>IF(申込書!E36&lt;&gt;"",申込書!E36,"")</f>
        <v/>
      </c>
      <c r="P15" s="405" t="str">
        <f t="shared" ref="P15:P25" si="6">IF(O15&lt;&gt;"",ROW(P15)-13,"")</f>
        <v/>
      </c>
      <c r="R15" s="463" t="s">
        <v>329</v>
      </c>
      <c r="S15" s="304" t="s">
        <v>442</v>
      </c>
      <c r="T15" s="324"/>
    </row>
    <row r="16" spans="1:20" ht="15.65" customHeight="1">
      <c r="A16" s="333" t="str">
        <f t="shared" si="2"/>
        <v/>
      </c>
      <c r="B16" s="447" t="str">
        <f>申込書!G37</f>
        <v/>
      </c>
      <c r="C16" s="92" t="str">
        <f t="shared" si="0"/>
        <v/>
      </c>
      <c r="D16" t="str">
        <f t="shared" si="1"/>
        <v/>
      </c>
      <c r="E16" s="299" t="str">
        <f t="shared" si="3"/>
        <v/>
      </c>
      <c r="F16" s="92" t="str">
        <f t="shared" si="4"/>
        <v/>
      </c>
      <c r="G16" s="359" t="str">
        <f>IF(O16&lt;&gt;"",MONTH(申込書!F$16),"")</f>
        <v/>
      </c>
      <c r="H16" s="92" t="str">
        <f>IF(O16&lt;&gt;"",(VLOOKUP(申込書!F$24,きっかけ,2,FALSE)),"")</f>
        <v/>
      </c>
      <c r="I16" s="92" t="str">
        <f>IF(O16&lt;&gt;"",IF(申込書!H37&lt;&gt;"",申込書!H37),"")</f>
        <v/>
      </c>
      <c r="J16" s="92" t="str">
        <f>IF(O16&lt;&gt;"",申込書!J$57,"")</f>
        <v/>
      </c>
      <c r="K16" s="92" t="str">
        <f>IF(O16&lt;&gt;"",申込書!J$56,"")</f>
        <v/>
      </c>
      <c r="L16" s="92" t="str">
        <f t="shared" si="5"/>
        <v/>
      </c>
      <c r="M16" s="299" t="str">
        <f>IF(O16&lt;&gt;"",申込書!F$16,"")</f>
        <v/>
      </c>
      <c r="N16" s="311" t="str">
        <f>IF(O16&lt;&gt;"",申込書!$C$20,"")</f>
        <v/>
      </c>
      <c r="O16" s="327" t="str">
        <f>IF(申込書!E37&lt;&gt;"",申込書!E37,"")</f>
        <v/>
      </c>
      <c r="P16" s="405" t="str">
        <f t="shared" si="6"/>
        <v/>
      </c>
      <c r="R16" s="303" t="s">
        <v>436</v>
      </c>
      <c r="S16" s="304" t="s">
        <v>443</v>
      </c>
      <c r="T16" s="325"/>
    </row>
    <row r="17" spans="1:20" ht="15.65" customHeight="1">
      <c r="A17" s="333" t="str">
        <f t="shared" si="2"/>
        <v/>
      </c>
      <c r="B17" s="447" t="str">
        <f>申込書!G38</f>
        <v/>
      </c>
      <c r="C17" s="92" t="str">
        <f t="shared" si="0"/>
        <v/>
      </c>
      <c r="D17" t="str">
        <f t="shared" si="1"/>
        <v/>
      </c>
      <c r="E17" s="299" t="str">
        <f t="shared" si="3"/>
        <v/>
      </c>
      <c r="F17" s="92" t="str">
        <f t="shared" si="4"/>
        <v/>
      </c>
      <c r="G17" s="359" t="str">
        <f>IF(O17&lt;&gt;"",MONTH(申込書!F$16),"")</f>
        <v/>
      </c>
      <c r="H17" s="92" t="str">
        <f>IF(O17&lt;&gt;"",(VLOOKUP(申込書!F$24,きっかけ,2,FALSE)),"")</f>
        <v/>
      </c>
      <c r="I17" s="92" t="str">
        <f>IF(O17&lt;&gt;"",IF(申込書!H38&lt;&gt;"",申込書!H38),"")</f>
        <v/>
      </c>
      <c r="J17" s="92" t="str">
        <f>IF(O17&lt;&gt;"",申込書!J$57,"")</f>
        <v/>
      </c>
      <c r="K17" s="92" t="str">
        <f>IF(O17&lt;&gt;"",申込書!J$56,"")</f>
        <v/>
      </c>
      <c r="L17" s="92" t="str">
        <f t="shared" si="5"/>
        <v/>
      </c>
      <c r="M17" s="299" t="str">
        <f>IF(O17&lt;&gt;"",申込書!F$16,"")</f>
        <v/>
      </c>
      <c r="N17" s="311" t="str">
        <f>IF(O17&lt;&gt;"",申込書!$C$20,"")</f>
        <v/>
      </c>
      <c r="O17" s="327" t="str">
        <f>IF(申込書!E38&lt;&gt;"",申込書!E38,"")</f>
        <v/>
      </c>
      <c r="P17" s="405" t="str">
        <f t="shared" si="6"/>
        <v/>
      </c>
      <c r="R17" s="303" t="s">
        <v>437</v>
      </c>
      <c r="S17" s="305" t="s">
        <v>444</v>
      </c>
      <c r="T17" s="325"/>
    </row>
    <row r="18" spans="1:20" ht="15.65" customHeight="1">
      <c r="A18" s="333" t="str">
        <f t="shared" si="2"/>
        <v/>
      </c>
      <c r="B18" s="447" t="str">
        <f>申込書!G39</f>
        <v/>
      </c>
      <c r="C18" s="92" t="str">
        <f t="shared" si="0"/>
        <v/>
      </c>
      <c r="D18" t="str">
        <f t="shared" si="1"/>
        <v/>
      </c>
      <c r="E18" s="299" t="str">
        <f t="shared" si="3"/>
        <v/>
      </c>
      <c r="F18" s="92" t="str">
        <f t="shared" si="4"/>
        <v/>
      </c>
      <c r="G18" s="359" t="str">
        <f>IF(O18&lt;&gt;"",MONTH(申込書!F$16),"")</f>
        <v/>
      </c>
      <c r="H18" s="92" t="str">
        <f>IF(O18&lt;&gt;"",(VLOOKUP(申込書!F$24,きっかけ,2,FALSE)),"")</f>
        <v/>
      </c>
      <c r="I18" s="92" t="str">
        <f>IF(O18&lt;&gt;"",IF(申込書!H39&lt;&gt;"",申込書!H39),"")</f>
        <v/>
      </c>
      <c r="J18" s="92" t="str">
        <f>IF(O18&lt;&gt;"",申込書!J$57,"")</f>
        <v/>
      </c>
      <c r="K18" s="92" t="str">
        <f>IF(O18&lt;&gt;"",申込書!J$56,"")</f>
        <v/>
      </c>
      <c r="L18" s="92" t="str">
        <f t="shared" si="5"/>
        <v/>
      </c>
      <c r="M18" s="299" t="str">
        <f>IF(O18&lt;&gt;"",申込書!F$16,"")</f>
        <v/>
      </c>
      <c r="N18" s="311" t="str">
        <f>IF(O18&lt;&gt;"",申込書!$C$20,"")</f>
        <v/>
      </c>
      <c r="O18" s="327" t="str">
        <f>IF(申込書!E39&lt;&gt;"",申込書!E39,"")</f>
        <v/>
      </c>
      <c r="P18" s="405" t="str">
        <f t="shared" si="6"/>
        <v/>
      </c>
      <c r="R18" s="303" t="s">
        <v>438</v>
      </c>
      <c r="S18" s="305" t="s">
        <v>445</v>
      </c>
      <c r="T18" s="325"/>
    </row>
    <row r="19" spans="1:20" ht="15.65" customHeight="1">
      <c r="A19" s="333" t="str">
        <f t="shared" si="2"/>
        <v/>
      </c>
      <c r="B19" s="447" t="str">
        <f>申込書!G40</f>
        <v/>
      </c>
      <c r="C19" s="92" t="str">
        <f t="shared" si="0"/>
        <v/>
      </c>
      <c r="D19" t="str">
        <f t="shared" si="1"/>
        <v/>
      </c>
      <c r="E19" s="299" t="str">
        <f t="shared" si="3"/>
        <v/>
      </c>
      <c r="F19" s="92" t="str">
        <f t="shared" si="4"/>
        <v/>
      </c>
      <c r="G19" s="359" t="str">
        <f>IF(O19&lt;&gt;"",MONTH(申込書!F$16),"")</f>
        <v/>
      </c>
      <c r="H19" s="92" t="str">
        <f>IF(O19&lt;&gt;"",(VLOOKUP(申込書!F$24,きっかけ,2,FALSE)),"")</f>
        <v/>
      </c>
      <c r="I19" s="92" t="str">
        <f>IF(O19&lt;&gt;"",IF(申込書!H40&lt;&gt;"",申込書!H40),"")</f>
        <v/>
      </c>
      <c r="J19" s="92" t="str">
        <f>IF(O19&lt;&gt;"",申込書!J$57,"")</f>
        <v/>
      </c>
      <c r="K19" s="92" t="str">
        <f>IF(O19&lt;&gt;"",申込書!J$56,"")</f>
        <v/>
      </c>
      <c r="L19" s="92" t="str">
        <f t="shared" si="5"/>
        <v/>
      </c>
      <c r="M19" s="299" t="str">
        <f>IF(O19&lt;&gt;"",申込書!F$16,"")</f>
        <v/>
      </c>
      <c r="N19" s="311" t="str">
        <f>IF(O19&lt;&gt;"",申込書!$C$20,"")</f>
        <v/>
      </c>
      <c r="O19" s="327" t="str">
        <f>IF(申込書!E40&lt;&gt;"",申込書!E40,"")</f>
        <v/>
      </c>
      <c r="P19" s="405" t="str">
        <f t="shared" si="6"/>
        <v/>
      </c>
      <c r="R19" s="303" t="s">
        <v>439</v>
      </c>
      <c r="S19" s="304" t="s">
        <v>446</v>
      </c>
      <c r="T19" s="325"/>
    </row>
    <row r="20" spans="1:20" ht="15.65" customHeight="1">
      <c r="A20" s="333" t="str">
        <f t="shared" si="2"/>
        <v/>
      </c>
      <c r="B20" s="447" t="str">
        <f>申込書!G41</f>
        <v/>
      </c>
      <c r="C20" s="92" t="str">
        <f t="shared" si="0"/>
        <v/>
      </c>
      <c r="D20" t="str">
        <f t="shared" si="1"/>
        <v/>
      </c>
      <c r="E20" s="299" t="str">
        <f t="shared" si="3"/>
        <v/>
      </c>
      <c r="F20" s="92" t="str">
        <f t="shared" si="4"/>
        <v/>
      </c>
      <c r="G20" s="359" t="str">
        <f>IF(O20&lt;&gt;"",MONTH(申込書!F$16),"")</f>
        <v/>
      </c>
      <c r="H20" s="92" t="str">
        <f>IF(O20&lt;&gt;"",(VLOOKUP(申込書!F$24,きっかけ,2,FALSE)),"")</f>
        <v/>
      </c>
      <c r="I20" s="92" t="str">
        <f>IF(O20&lt;&gt;"",IF(申込書!H41&lt;&gt;"",申込書!H41),"")</f>
        <v/>
      </c>
      <c r="J20" s="92" t="str">
        <f>IF(O20&lt;&gt;"",申込書!J$57,"")</f>
        <v/>
      </c>
      <c r="K20" s="92" t="str">
        <f>IF(O20&lt;&gt;"",申込書!J$56,"")</f>
        <v/>
      </c>
      <c r="L20" s="92" t="str">
        <f t="shared" si="5"/>
        <v/>
      </c>
      <c r="M20" s="299" t="str">
        <f>IF(O20&lt;&gt;"",申込書!F$16,"")</f>
        <v/>
      </c>
      <c r="N20" s="311" t="str">
        <f>IF(O20&lt;&gt;"",申込書!$C$20,"")</f>
        <v/>
      </c>
      <c r="O20" s="327" t="str">
        <f>IF(申込書!E41&lt;&gt;"",申込書!E41,"")</f>
        <v/>
      </c>
      <c r="P20" s="405" t="str">
        <f t="shared" si="6"/>
        <v/>
      </c>
      <c r="R20" s="303" t="s">
        <v>440</v>
      </c>
      <c r="S20" s="304" t="s">
        <v>447</v>
      </c>
      <c r="T20" s="325"/>
    </row>
    <row r="21" spans="1:20" ht="15.65" customHeight="1">
      <c r="A21" s="333" t="str">
        <f t="shared" si="2"/>
        <v/>
      </c>
      <c r="B21" s="447" t="str">
        <f>申込書!G42</f>
        <v/>
      </c>
      <c r="C21" s="92" t="str">
        <f t="shared" si="0"/>
        <v/>
      </c>
      <c r="D21" t="str">
        <f t="shared" si="1"/>
        <v/>
      </c>
      <c r="E21" s="299" t="str">
        <f t="shared" si="3"/>
        <v/>
      </c>
      <c r="F21" s="92" t="str">
        <f t="shared" si="4"/>
        <v/>
      </c>
      <c r="G21" s="359" t="str">
        <f>IF(O21&lt;&gt;"",MONTH(申込書!F$16),"")</f>
        <v/>
      </c>
      <c r="H21" s="92" t="str">
        <f>IF(O21&lt;&gt;"",(VLOOKUP(申込書!F$24,きっかけ,2,FALSE)),"")</f>
        <v/>
      </c>
      <c r="I21" s="92" t="str">
        <f>IF(O21&lt;&gt;"",IF(申込書!H42&lt;&gt;"",申込書!H42),"")</f>
        <v/>
      </c>
      <c r="J21" s="92" t="str">
        <f>IF(O21&lt;&gt;"",申込書!J$57,"")</f>
        <v/>
      </c>
      <c r="K21" s="92" t="str">
        <f>IF(O21&lt;&gt;"",申込書!J$56,"")</f>
        <v/>
      </c>
      <c r="L21" s="92" t="str">
        <f t="shared" si="5"/>
        <v/>
      </c>
      <c r="M21" s="299" t="str">
        <f>IF(O21&lt;&gt;"",申込書!F$16,"")</f>
        <v/>
      </c>
      <c r="N21" s="311" t="str">
        <f>IF(O21&lt;&gt;"",申込書!$C$20,"")</f>
        <v/>
      </c>
      <c r="O21" s="327" t="str">
        <f>IF(申込書!E42&lt;&gt;"",申込書!E42,"")</f>
        <v/>
      </c>
      <c r="P21" s="405" t="str">
        <f t="shared" si="6"/>
        <v/>
      </c>
      <c r="R21" s="463" t="s">
        <v>300</v>
      </c>
      <c r="S21" s="304" t="s">
        <v>448</v>
      </c>
      <c r="T21" s="325"/>
    </row>
    <row r="22" spans="1:20" ht="15.65" customHeight="1">
      <c r="A22" s="333" t="str">
        <f t="shared" si="2"/>
        <v/>
      </c>
      <c r="B22" s="447" t="str">
        <f>申込書!G43</f>
        <v/>
      </c>
      <c r="C22" s="92" t="str">
        <f t="shared" si="0"/>
        <v/>
      </c>
      <c r="D22" t="str">
        <f t="shared" si="1"/>
        <v/>
      </c>
      <c r="E22" s="299" t="str">
        <f t="shared" si="3"/>
        <v/>
      </c>
      <c r="F22" s="92" t="str">
        <f t="shared" si="4"/>
        <v/>
      </c>
      <c r="G22" s="359" t="str">
        <f>IF(O22&lt;&gt;"",MONTH(申込書!F$16),"")</f>
        <v/>
      </c>
      <c r="H22" s="92" t="str">
        <f>IF(O22&lt;&gt;"",(VLOOKUP(申込書!F$24,きっかけ,2,FALSE)),"")</f>
        <v/>
      </c>
      <c r="I22" s="92" t="str">
        <f>IF(O22&lt;&gt;"",IF(申込書!H43&lt;&gt;"",申込書!H43),"")</f>
        <v/>
      </c>
      <c r="J22" s="92" t="str">
        <f>IF(O22&lt;&gt;"",申込書!J$57,"")</f>
        <v/>
      </c>
      <c r="K22" s="92" t="str">
        <f>IF(O22&lt;&gt;"",申込書!J$56,"")</f>
        <v/>
      </c>
      <c r="L22" s="92" t="str">
        <f t="shared" si="5"/>
        <v/>
      </c>
      <c r="M22" s="299" t="str">
        <f>IF(O22&lt;&gt;"",申込書!F$16,"")</f>
        <v/>
      </c>
      <c r="N22" s="311" t="str">
        <f>IF(O22&lt;&gt;"",申込書!$C$20,"")</f>
        <v/>
      </c>
      <c r="O22" s="327" t="str">
        <f>IF(申込書!E43&lt;&gt;"",申込書!E43,"")</f>
        <v/>
      </c>
      <c r="P22" s="405" t="str">
        <f t="shared" si="6"/>
        <v/>
      </c>
      <c r="R22" s="303" t="s">
        <v>301</v>
      </c>
      <c r="S22" s="304" t="s">
        <v>449</v>
      </c>
      <c r="T22" s="325"/>
    </row>
    <row r="23" spans="1:20" ht="15.65" customHeight="1">
      <c r="A23" s="333" t="str">
        <f t="shared" si="2"/>
        <v/>
      </c>
      <c r="B23" s="447" t="str">
        <f>申込書!G44</f>
        <v/>
      </c>
      <c r="C23" s="92" t="str">
        <f t="shared" si="0"/>
        <v/>
      </c>
      <c r="D23" t="str">
        <f t="shared" si="1"/>
        <v/>
      </c>
      <c r="E23" s="299" t="str">
        <f t="shared" si="3"/>
        <v/>
      </c>
      <c r="F23" s="92" t="str">
        <f t="shared" si="4"/>
        <v/>
      </c>
      <c r="G23" s="359" t="str">
        <f>IF(O23&lt;&gt;"",MONTH(申込書!F$16),"")</f>
        <v/>
      </c>
      <c r="H23" s="92" t="str">
        <f>IF(O23&lt;&gt;"",(VLOOKUP(申込書!F$24,きっかけ,2,FALSE)),"")</f>
        <v/>
      </c>
      <c r="I23" s="92" t="str">
        <f>IF(O23&lt;&gt;"",IF(申込書!H44&lt;&gt;"",申込書!H44),"")</f>
        <v/>
      </c>
      <c r="J23" s="92" t="str">
        <f>IF(O23&lt;&gt;"",申込書!J$57,"")</f>
        <v/>
      </c>
      <c r="K23" s="92" t="str">
        <f>IF(O23&lt;&gt;"",申込書!J$56,"")</f>
        <v/>
      </c>
      <c r="L23" s="92" t="str">
        <f t="shared" si="5"/>
        <v/>
      </c>
      <c r="M23" s="299" t="str">
        <f>IF(O23&lt;&gt;"",申込書!F$16,"")</f>
        <v/>
      </c>
      <c r="N23" s="311" t="str">
        <f>IF(O23&lt;&gt;"",申込書!$C$20,"")</f>
        <v/>
      </c>
      <c r="O23" s="327" t="str">
        <f>IF(申込書!E44&lt;&gt;"",申込書!E44,"")</f>
        <v/>
      </c>
      <c r="P23" s="405" t="str">
        <f t="shared" si="6"/>
        <v/>
      </c>
      <c r="R23" s="303" t="s">
        <v>441</v>
      </c>
      <c r="S23" s="305" t="s">
        <v>450</v>
      </c>
      <c r="T23" s="325"/>
    </row>
    <row r="24" spans="1:20" ht="15.65" customHeight="1">
      <c r="A24" s="333" t="str">
        <f t="shared" si="2"/>
        <v/>
      </c>
      <c r="B24" s="447" t="str">
        <f>申込書!G45</f>
        <v/>
      </c>
      <c r="C24" s="92" t="str">
        <f t="shared" si="0"/>
        <v/>
      </c>
      <c r="D24" t="str">
        <f t="shared" si="1"/>
        <v/>
      </c>
      <c r="E24" s="299" t="str">
        <f t="shared" si="3"/>
        <v/>
      </c>
      <c r="F24" s="92" t="str">
        <f t="shared" si="4"/>
        <v/>
      </c>
      <c r="G24" s="359" t="str">
        <f>IF(O24&lt;&gt;"",MONTH(申込書!F$16),"")</f>
        <v/>
      </c>
      <c r="H24" s="92" t="str">
        <f>IF(O24&lt;&gt;"",(VLOOKUP(申込書!F$24,きっかけ,2,FALSE)),"")</f>
        <v/>
      </c>
      <c r="I24" s="92" t="str">
        <f>IF(O24&lt;&gt;"",IF(申込書!H45&lt;&gt;"",申込書!H45),"")</f>
        <v/>
      </c>
      <c r="J24" s="92" t="str">
        <f>IF(O24&lt;&gt;"",申込書!J$57,"")</f>
        <v/>
      </c>
      <c r="K24" s="92" t="str">
        <f>IF(O24&lt;&gt;"",申込書!J$56,"")</f>
        <v/>
      </c>
      <c r="L24" s="92" t="str">
        <f t="shared" si="5"/>
        <v/>
      </c>
      <c r="M24" s="299" t="str">
        <f>IF(O24&lt;&gt;"",申込書!F$16,"")</f>
        <v/>
      </c>
      <c r="N24" s="311" t="str">
        <f>IF(O24&lt;&gt;"",申込書!$C$20,"")</f>
        <v/>
      </c>
      <c r="O24" s="327" t="str">
        <f>IF(申込書!E45&lt;&gt;"",申込書!E45,"")</f>
        <v/>
      </c>
      <c r="P24" s="405" t="str">
        <f t="shared" si="6"/>
        <v/>
      </c>
      <c r="R24" s="303" t="s">
        <v>302</v>
      </c>
      <c r="S24" s="305" t="s">
        <v>451</v>
      </c>
      <c r="T24" s="325"/>
    </row>
    <row r="25" spans="1:20" ht="15.65" customHeight="1" thickBot="1">
      <c r="A25" s="334" t="str">
        <f t="shared" si="2"/>
        <v/>
      </c>
      <c r="B25" s="448" t="str">
        <f>申込書!G46</f>
        <v/>
      </c>
      <c r="C25" s="328" t="str">
        <f t="shared" si="0"/>
        <v/>
      </c>
      <c r="D25" s="329" t="str">
        <f t="shared" si="1"/>
        <v/>
      </c>
      <c r="E25" s="330" t="str">
        <f t="shared" si="3"/>
        <v/>
      </c>
      <c r="F25" s="328" t="str">
        <f t="shared" si="4"/>
        <v/>
      </c>
      <c r="G25" s="360" t="str">
        <f>IF(O25&lt;&gt;"",MONTH(申込書!F$16),"")</f>
        <v/>
      </c>
      <c r="H25" s="328" t="str">
        <f>IF(O25&lt;&gt;"",(VLOOKUP(申込書!F$24,きっかけ,2,FALSE)),"")</f>
        <v/>
      </c>
      <c r="I25" s="328" t="str">
        <f>IF(O25&lt;&gt;"",IF(申込書!H46&lt;&gt;"",申込書!H46),"")</f>
        <v/>
      </c>
      <c r="J25" s="328" t="str">
        <f>IF(O25&lt;&gt;"",申込書!J$57,"")</f>
        <v/>
      </c>
      <c r="K25" s="328" t="str">
        <f>IF(O25&lt;&gt;"",申込書!J$56,"")</f>
        <v/>
      </c>
      <c r="L25" s="328" t="str">
        <f t="shared" si="5"/>
        <v/>
      </c>
      <c r="M25" s="330" t="str">
        <f>IF(O25&lt;&gt;"",申込書!F$16,"")</f>
        <v/>
      </c>
      <c r="N25" s="331" t="str">
        <f>IF(O25&lt;&gt;"",申込書!$C$20,"")</f>
        <v/>
      </c>
      <c r="O25" s="332" t="str">
        <f>IF(申込書!E46&lt;&gt;"",申込書!E46,"")</f>
        <v/>
      </c>
      <c r="P25" s="405" t="str">
        <f t="shared" si="6"/>
        <v/>
      </c>
      <c r="R25" s="306" t="s">
        <v>298</v>
      </c>
      <c r="S25" s="304" t="s">
        <v>452</v>
      </c>
      <c r="T25" s="325"/>
    </row>
    <row r="26" spans="1:20" ht="15.65" customHeight="1" thickTop="1">
      <c r="R26" s="464" t="s">
        <v>305</v>
      </c>
      <c r="S26" s="304" t="s">
        <v>455</v>
      </c>
      <c r="T26" s="325"/>
    </row>
    <row r="27" spans="1:20" ht="15.65" customHeight="1">
      <c r="R27" s="464" t="s">
        <v>303</v>
      </c>
      <c r="S27" s="304" t="s">
        <v>456</v>
      </c>
      <c r="T27" s="325"/>
    </row>
    <row r="28" spans="1:20" ht="15.65" customHeight="1">
      <c r="R28" s="465" t="s">
        <v>304</v>
      </c>
      <c r="S28" s="304" t="s">
        <v>457</v>
      </c>
      <c r="T28" s="325"/>
    </row>
    <row r="29" spans="1:20" ht="15.65" customHeight="1">
      <c r="R29" s="465" t="s">
        <v>453</v>
      </c>
      <c r="S29" s="304" t="s">
        <v>458</v>
      </c>
      <c r="T29" s="325"/>
    </row>
    <row r="30" spans="1:20" ht="15.65" customHeight="1">
      <c r="R30" s="306" t="s">
        <v>306</v>
      </c>
      <c r="S30" s="304" t="s">
        <v>459</v>
      </c>
      <c r="T30" s="325"/>
    </row>
    <row r="31" spans="1:20" ht="15.65" customHeight="1">
      <c r="R31" s="303" t="s">
        <v>454</v>
      </c>
      <c r="S31" s="304" t="s">
        <v>460</v>
      </c>
      <c r="T31" s="325"/>
    </row>
    <row r="32" spans="1:20" ht="15.65" customHeight="1">
      <c r="R32" s="303" t="s">
        <v>299</v>
      </c>
      <c r="S32" s="304" t="s">
        <v>461</v>
      </c>
      <c r="T32" s="325"/>
    </row>
    <row r="33" spans="17:20" ht="15.65" customHeight="1">
      <c r="R33" s="303" t="s">
        <v>421</v>
      </c>
      <c r="S33" s="304" t="s">
        <v>427</v>
      </c>
      <c r="T33" s="325"/>
    </row>
    <row r="34" spans="17:20" ht="15.65" customHeight="1">
      <c r="R34" s="303" t="s">
        <v>423</v>
      </c>
      <c r="S34" s="304" t="s">
        <v>428</v>
      </c>
      <c r="T34" s="325"/>
    </row>
    <row r="35" spans="17:20" ht="15.65" customHeight="1">
      <c r="R35" s="303" t="s">
        <v>420</v>
      </c>
      <c r="S35" s="304" t="s">
        <v>429</v>
      </c>
      <c r="T35" s="325"/>
    </row>
    <row r="36" spans="17:20" ht="18">
      <c r="R36" s="303" t="s">
        <v>424</v>
      </c>
      <c r="S36" s="304" t="s">
        <v>430</v>
      </c>
      <c r="T36" s="325"/>
    </row>
    <row r="37" spans="17:20" ht="18">
      <c r="R37" s="307" t="s">
        <v>425</v>
      </c>
      <c r="S37" s="304" t="s">
        <v>431</v>
      </c>
      <c r="T37" s="325"/>
    </row>
    <row r="38" spans="17:20" ht="18">
      <c r="Q38">
        <v>0</v>
      </c>
      <c r="R38" s="307" t="s">
        <v>426</v>
      </c>
      <c r="S38" s="466" t="s">
        <v>432</v>
      </c>
      <c r="T38" s="325"/>
    </row>
    <row r="39" spans="17:20">
      <c r="Q39" s="316">
        <v>5000</v>
      </c>
    </row>
    <row r="40" spans="17:20" ht="16.5">
      <c r="Q40" s="384">
        <v>0</v>
      </c>
      <c r="R40" s="308" t="s">
        <v>307</v>
      </c>
      <c r="S40" s="308" t="s">
        <v>308</v>
      </c>
      <c r="T40" s="308" t="s">
        <v>309</v>
      </c>
    </row>
    <row r="41" spans="17:20" ht="16.5">
      <c r="Q41" s="384">
        <v>5000</v>
      </c>
      <c r="R41" s="308" t="s">
        <v>310</v>
      </c>
      <c r="S41" s="308" t="s">
        <v>308</v>
      </c>
      <c r="T41" s="308" t="s">
        <v>311</v>
      </c>
    </row>
    <row r="42" spans="17:20" ht="16.5">
      <c r="Q42" s="384">
        <v>10000</v>
      </c>
      <c r="R42" s="308" t="s">
        <v>287</v>
      </c>
      <c r="S42" s="308" t="s">
        <v>308</v>
      </c>
      <c r="T42" s="308" t="s">
        <v>312</v>
      </c>
    </row>
    <row r="43" spans="17:20" ht="16.5">
      <c r="Q43" s="384">
        <v>20000</v>
      </c>
      <c r="R43" s="308" t="s">
        <v>313</v>
      </c>
      <c r="S43" s="308" t="s">
        <v>308</v>
      </c>
      <c r="T43" s="308" t="s">
        <v>314</v>
      </c>
    </row>
    <row r="44" spans="17:20" ht="16.5">
      <c r="Q44" s="384">
        <v>30000</v>
      </c>
      <c r="R44" s="308" t="s">
        <v>315</v>
      </c>
      <c r="S44" s="308" t="s">
        <v>308</v>
      </c>
      <c r="T44" s="308" t="s">
        <v>316</v>
      </c>
    </row>
    <row r="45" spans="17:20" ht="16.5">
      <c r="Q45" s="384">
        <v>60000</v>
      </c>
      <c r="R45" s="308" t="s">
        <v>285</v>
      </c>
      <c r="S45" s="308" t="s">
        <v>308</v>
      </c>
      <c r="T45" s="308" t="s">
        <v>317</v>
      </c>
    </row>
    <row r="46" spans="17:20" ht="16.5">
      <c r="Q46" s="384">
        <v>70000</v>
      </c>
      <c r="R46" s="308" t="s">
        <v>318</v>
      </c>
      <c r="S46" s="308" t="s">
        <v>308</v>
      </c>
      <c r="T46" s="308" t="s">
        <v>319</v>
      </c>
    </row>
    <row r="47" spans="17:20" ht="16.5">
      <c r="Q47" s="384">
        <v>80000</v>
      </c>
      <c r="R47" s="308" t="s">
        <v>320</v>
      </c>
      <c r="S47" s="308" t="s">
        <v>308</v>
      </c>
      <c r="T47" s="308" t="s">
        <v>319</v>
      </c>
    </row>
  </sheetData>
  <phoneticPr fontId="6"/>
  <conditionalFormatting sqref="A13:O25 E2:N2">
    <cfRule type="notContainsBlanks" dxfId="40" priority="10">
      <formula>LEN(TRIM(A2))&gt;0</formula>
    </cfRule>
  </conditionalFormatting>
  <conditionalFormatting sqref="B4:F9">
    <cfRule type="expression" dxfId="39" priority="3">
      <formula>$B4&lt;&gt;""</formula>
    </cfRule>
  </conditionalFormatting>
  <conditionalFormatting sqref="E2:N2">
    <cfRule type="cellIs" dxfId="38" priority="2" operator="equal">
      <formula>0</formula>
    </cfRule>
  </conditionalFormatting>
  <conditionalFormatting sqref="I13:I17">
    <cfRule type="cellIs" dxfId="37" priority="7" operator="equal">
      <formula>0</formula>
    </cfRule>
  </conditionalFormatting>
  <conditionalFormatting sqref="I13:K25">
    <cfRule type="cellIs" dxfId="36" priority="8" operator="equal">
      <formula>0</formula>
    </cfRule>
  </conditionalFormatting>
  <conditionalFormatting sqref="L13:L25">
    <cfRule type="expression" dxfId="35" priority="6">
      <formula>AND(N13&lt;&gt;"",L13=0)</formula>
    </cfRule>
  </conditionalFormatting>
  <conditionalFormatting sqref="N13:N25">
    <cfRule type="expression" dxfId="34" priority="1">
      <formula>AND(E13&gt;0,N13=0)</formula>
    </cfRule>
  </conditionalFormatting>
  <dataValidations count="1">
    <dataValidation imeMode="on" allowBlank="1" showInputMessage="1" showErrorMessage="1" sqref="A1:E1 G1:XFD1" xr:uid="{00000000-0002-0000-0500-000000000000}"/>
  </dataValidations>
  <pageMargins left="0.7" right="0.7" top="0.75" bottom="0.75" header="0.3" footer="0.3"/>
  <pageSetup paperSize="9" scale="9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V47"/>
  <sheetViews>
    <sheetView topLeftCell="A4" zoomScale="94" zoomScaleNormal="94" workbookViewId="0">
      <selection activeCell="B15" sqref="B15"/>
    </sheetView>
  </sheetViews>
  <sheetFormatPr defaultRowHeight="13"/>
  <cols>
    <col min="2" max="2" width="10" customWidth="1"/>
    <col min="3" max="3" width="10.08984375" customWidth="1"/>
    <col min="4" max="7" width="8.90625" customWidth="1"/>
    <col min="8" max="9" width="7.6328125" customWidth="1"/>
    <col min="10" max="13" width="6.6328125" customWidth="1"/>
    <col min="14" max="15" width="3" customWidth="1"/>
    <col min="16" max="16" width="6.6328125" customWidth="1"/>
    <col min="17" max="17" width="4.08984375" customWidth="1"/>
    <col min="18" max="22" width="6.6328125" customWidth="1"/>
  </cols>
  <sheetData>
    <row r="1" spans="1:22" ht="30.5" thickTop="1">
      <c r="A1" s="165" t="s">
        <v>238</v>
      </c>
      <c r="B1" s="583" t="str">
        <f>IF(申込書!C16&lt;&gt;"",申込書!C16,"")</f>
        <v/>
      </c>
      <c r="C1" s="584"/>
      <c r="D1" s="116" t="s">
        <v>37</v>
      </c>
      <c r="E1" s="585" t="str">
        <f>IF(申込書!F16&lt;&gt;"",申込書!F16,"")</f>
        <v/>
      </c>
      <c r="F1" s="586"/>
      <c r="G1" s="586"/>
      <c r="H1" s="586"/>
      <c r="I1" s="587"/>
    </row>
    <row r="2" spans="1:22" ht="19.5" customHeight="1">
      <c r="A2" s="588" t="s">
        <v>239</v>
      </c>
      <c r="B2" s="109" t="s">
        <v>4</v>
      </c>
      <c r="C2" s="602">
        <f>申込書!D17</f>
        <v>0</v>
      </c>
      <c r="D2" s="602"/>
      <c r="E2" s="120"/>
      <c r="F2" s="518" t="s">
        <v>12</v>
      </c>
      <c r="G2" s="589" t="s">
        <v>196</v>
      </c>
      <c r="H2" s="589"/>
      <c r="I2" s="590"/>
    </row>
    <row r="3" spans="1:22" ht="19.5">
      <c r="A3" s="588"/>
      <c r="B3" s="593">
        <f>申込書!C18</f>
        <v>0</v>
      </c>
      <c r="C3" s="594"/>
      <c r="D3" s="594"/>
      <c r="E3" s="595"/>
      <c r="F3" s="498"/>
      <c r="G3" s="591"/>
      <c r="H3" s="591"/>
      <c r="I3" s="592"/>
    </row>
    <row r="4" spans="1:22" ht="19.5">
      <c r="A4" s="166" t="s">
        <v>3</v>
      </c>
      <c r="B4" s="593">
        <f>申込書!C19</f>
        <v>0</v>
      </c>
      <c r="C4" s="594"/>
      <c r="D4" s="594"/>
      <c r="E4" s="595"/>
      <c r="F4" s="117" t="s">
        <v>5</v>
      </c>
      <c r="G4" s="603">
        <f>申込書!H19</f>
        <v>0</v>
      </c>
      <c r="H4" s="594"/>
      <c r="I4" s="604"/>
    </row>
    <row r="5" spans="1:22" ht="32.15" customHeight="1">
      <c r="A5" s="166" t="s">
        <v>240</v>
      </c>
      <c r="B5" s="605">
        <f>申込書!C20</f>
        <v>0</v>
      </c>
      <c r="C5" s="606"/>
      <c r="D5" s="594"/>
      <c r="E5" s="595"/>
      <c r="F5" s="117" t="s">
        <v>7</v>
      </c>
      <c r="G5" s="603">
        <f>申込書!H20</f>
        <v>0</v>
      </c>
      <c r="H5" s="594"/>
      <c r="I5" s="604"/>
    </row>
    <row r="6" spans="1:22" ht="19.5">
      <c r="A6" s="166" t="s">
        <v>3</v>
      </c>
      <c r="B6" s="607">
        <f>申込書!C21</f>
        <v>0</v>
      </c>
      <c r="C6" s="608"/>
      <c r="D6" s="497" t="s">
        <v>32</v>
      </c>
      <c r="E6" s="537">
        <f>申込書!F21</f>
        <v>0</v>
      </c>
      <c r="F6" s="117" t="s">
        <v>5</v>
      </c>
      <c r="G6" s="603">
        <f>申込書!H21</f>
        <v>0</v>
      </c>
      <c r="H6" s="594"/>
      <c r="I6" s="604"/>
    </row>
    <row r="7" spans="1:22" ht="27.65" customHeight="1">
      <c r="A7" s="166" t="s">
        <v>241</v>
      </c>
      <c r="B7" s="609">
        <f>申込書!C22</f>
        <v>0</v>
      </c>
      <c r="C7" s="610"/>
      <c r="D7" s="498"/>
      <c r="E7" s="538"/>
      <c r="F7" s="117" t="s">
        <v>9</v>
      </c>
      <c r="G7" s="603">
        <f>申込書!H22</f>
        <v>0</v>
      </c>
      <c r="H7" s="594"/>
      <c r="I7" s="604"/>
      <c r="K7" s="138" t="str">
        <f>申込書!I56</f>
        <v>部課コード</v>
      </c>
      <c r="L7" s="421">
        <f>申込書!J56</f>
        <v>0</v>
      </c>
    </row>
    <row r="8" spans="1:22" ht="27.65" customHeight="1">
      <c r="A8" s="166" t="s">
        <v>242</v>
      </c>
      <c r="B8" s="596">
        <f>申込書!C23</f>
        <v>0</v>
      </c>
      <c r="C8" s="597"/>
      <c r="D8" s="118" t="s">
        <v>11</v>
      </c>
      <c r="E8" s="598">
        <f>申込書!F23</f>
        <v>0</v>
      </c>
      <c r="F8" s="598"/>
      <c r="G8" s="598"/>
      <c r="H8" s="598"/>
      <c r="I8" s="599"/>
      <c r="K8" s="137" t="str">
        <f>申込書!I57</f>
        <v>担当者</v>
      </c>
      <c r="L8" s="421">
        <f>申込書!J57</f>
        <v>0</v>
      </c>
      <c r="P8" s="456" t="e">
        <f t="shared" ref="P8" si="0">IF(LEFT(#REF!,2)&lt;&gt;"PP","--","未入金")</f>
        <v>#REF!</v>
      </c>
    </row>
    <row r="9" spans="1:22" ht="29.65" customHeight="1" thickBot="1">
      <c r="A9" s="167" t="s">
        <v>34</v>
      </c>
      <c r="B9" s="600">
        <f>申込書!C24</f>
        <v>0</v>
      </c>
      <c r="C9" s="601"/>
      <c r="D9" s="119" t="s">
        <v>35</v>
      </c>
      <c r="E9" s="514">
        <f>申込書!F24</f>
        <v>0</v>
      </c>
      <c r="F9" s="514"/>
      <c r="G9" s="514"/>
      <c r="H9" s="514"/>
      <c r="I9" s="515"/>
      <c r="K9" s="137" t="str">
        <f>申込書!I58</f>
        <v>相手先コード</v>
      </c>
      <c r="L9" s="421">
        <f>申込書!J58</f>
        <v>0</v>
      </c>
    </row>
    <row r="10" spans="1:22" ht="13.5" thickTop="1"/>
    <row r="11" spans="1:22" ht="32">
      <c r="A11" s="159" t="s">
        <v>364</v>
      </c>
      <c r="B11" s="129" t="s">
        <v>201</v>
      </c>
      <c r="C11" s="105"/>
      <c r="D11" s="130"/>
      <c r="E11" s="130"/>
      <c r="F11" s="105"/>
      <c r="G11" s="130"/>
      <c r="H11" s="131"/>
      <c r="I11" s="130"/>
      <c r="J11" s="130"/>
      <c r="L11" t="s">
        <v>392</v>
      </c>
      <c r="M11" t="s">
        <v>393</v>
      </c>
      <c r="N11" t="s">
        <v>394</v>
      </c>
      <c r="O11" t="s">
        <v>395</v>
      </c>
      <c r="P11" t="s">
        <v>396</v>
      </c>
      <c r="Q11" t="s">
        <v>397</v>
      </c>
      <c r="R11" t="s">
        <v>398</v>
      </c>
      <c r="S11" t="s">
        <v>399</v>
      </c>
      <c r="T11" t="s">
        <v>400</v>
      </c>
      <c r="U11" t="s">
        <v>401</v>
      </c>
      <c r="V11" t="s">
        <v>402</v>
      </c>
    </row>
    <row r="12" spans="1:22" ht="45">
      <c r="A12" s="343" t="s">
        <v>346</v>
      </c>
      <c r="B12" s="344" t="s">
        <v>202</v>
      </c>
      <c r="C12" s="345" t="s">
        <v>203</v>
      </c>
      <c r="D12" s="346" t="s">
        <v>204</v>
      </c>
      <c r="E12" s="347" t="s">
        <v>205</v>
      </c>
      <c r="F12" s="348" t="s">
        <v>206</v>
      </c>
      <c r="G12" s="348" t="s">
        <v>207</v>
      </c>
      <c r="H12" s="347" t="s">
        <v>208</v>
      </c>
      <c r="I12" s="349" t="s">
        <v>209</v>
      </c>
      <c r="J12" s="350" t="s">
        <v>7</v>
      </c>
      <c r="K12" s="418" t="s">
        <v>340</v>
      </c>
      <c r="L12" s="418" t="s">
        <v>341</v>
      </c>
      <c r="M12" s="418" t="s">
        <v>342</v>
      </c>
      <c r="N12" s="418" t="s">
        <v>403</v>
      </c>
      <c r="O12" s="418" t="s">
        <v>348</v>
      </c>
      <c r="P12" s="455" t="s">
        <v>390</v>
      </c>
      <c r="Q12" s="310" t="s">
        <v>343</v>
      </c>
      <c r="R12" s="418" t="s">
        <v>344</v>
      </c>
      <c r="S12" s="418" t="s">
        <v>345</v>
      </c>
      <c r="T12" s="419" t="s">
        <v>359</v>
      </c>
      <c r="U12" s="419" t="s">
        <v>360</v>
      </c>
      <c r="V12" s="420" t="s">
        <v>361</v>
      </c>
    </row>
    <row r="13" spans="1:22" ht="18">
      <c r="A13" s="351">
        <f>L9</f>
        <v>0</v>
      </c>
      <c r="B13" s="132">
        <f>B5</f>
        <v>0</v>
      </c>
      <c r="C13" s="132">
        <f>C2</f>
        <v>0</v>
      </c>
      <c r="D13" s="132">
        <f>B3</f>
        <v>0</v>
      </c>
      <c r="E13" s="132">
        <f>B8</f>
        <v>0</v>
      </c>
      <c r="F13" s="132">
        <f>B7</f>
        <v>0</v>
      </c>
      <c r="G13" s="132">
        <f>G7</f>
        <v>0</v>
      </c>
      <c r="H13" s="133">
        <f>B9</f>
        <v>0</v>
      </c>
      <c r="I13" s="132">
        <f>E8</f>
        <v>0</v>
      </c>
      <c r="J13" s="132">
        <f>G5</f>
        <v>0</v>
      </c>
      <c r="K13" s="352">
        <f>VALUE(RIGHT(L7,1))</f>
        <v>0</v>
      </c>
      <c r="L13" s="352">
        <f>A15</f>
        <v>0</v>
      </c>
      <c r="M13" s="353" t="str">
        <f>B1</f>
        <v/>
      </c>
      <c r="N13" s="353"/>
      <c r="O13" s="403">
        <f>L8</f>
        <v>0</v>
      </c>
      <c r="P13" s="132" t="e">
        <f>IF(E9&lt;&gt;"",(VLOOKUP(申込書!F$24,きっかけ,2,FALSE)),"")</f>
        <v>#N/A</v>
      </c>
      <c r="Q13" s="456" t="str">
        <f>IF(LEFT(A13,2)&lt;&gt;"PP","--","未入金")</f>
        <v>--</v>
      </c>
      <c r="R13" s="353" t="str">
        <f>E1</f>
        <v/>
      </c>
      <c r="S13" s="353" t="str">
        <f>E1</f>
        <v/>
      </c>
      <c r="T13" s="339">
        <f>SUM(申込書!J35:J46)</f>
        <v>0</v>
      </c>
      <c r="U13" s="339">
        <f>SUM(申込書!J30:J31)</f>
        <v>0</v>
      </c>
      <c r="V13" s="339" t="str">
        <f>申込書!I47</f>
        <v/>
      </c>
    </row>
    <row r="14" spans="1:22" ht="21">
      <c r="B14" s="443"/>
      <c r="C14" s="105"/>
      <c r="D14" s="130"/>
      <c r="E14" s="130"/>
      <c r="F14" s="105"/>
      <c r="G14" s="130"/>
      <c r="H14" s="131"/>
      <c r="I14" s="130"/>
      <c r="J14" s="130"/>
    </row>
    <row r="15" spans="1:22" ht="66.650000000000006" customHeight="1">
      <c r="A15" s="340">
        <f>SUM(申込書!H35:H46)</f>
        <v>0</v>
      </c>
      <c r="B15" s="169" t="s">
        <v>210</v>
      </c>
      <c r="C15" s="134"/>
      <c r="D15" s="157" t="str">
        <f>受講者登録表!F11</f>
        <v/>
      </c>
      <c r="E15" s="157" t="str">
        <f>受講者登録表!G11</f>
        <v/>
      </c>
      <c r="F15" s="157" t="str">
        <f>受講者登録表!H11</f>
        <v/>
      </c>
      <c r="G15" s="157" t="str">
        <f>受講者登録表!I11</f>
        <v/>
      </c>
      <c r="H15" s="157" t="str">
        <f>受講者登録表!J11</f>
        <v/>
      </c>
      <c r="I15" s="157" t="str">
        <f>受講者登録表!K11</f>
        <v/>
      </c>
      <c r="J15" s="157" t="str">
        <f>受講者登録表!L11</f>
        <v/>
      </c>
      <c r="K15" s="157" t="str">
        <f>受講者登録表!M11</f>
        <v/>
      </c>
      <c r="L15" s="157" t="str">
        <f>受講者登録表!N11</f>
        <v/>
      </c>
      <c r="M15" s="157" t="str">
        <f>受講者登録表!O11</f>
        <v/>
      </c>
      <c r="N15" s="157" t="str">
        <f>受講者登録表!P11</f>
        <v/>
      </c>
      <c r="O15" s="157" t="str">
        <f>受講者登録表!Q11</f>
        <v/>
      </c>
    </row>
    <row r="16" spans="1:22" ht="16">
      <c r="A16" s="168"/>
      <c r="B16" s="135"/>
      <c r="C16" s="136"/>
      <c r="D16" s="158" t="str">
        <f>受講者登録表!F12</f>
        <v/>
      </c>
      <c r="E16" s="158" t="str">
        <f>受講者登録表!G12</f>
        <v/>
      </c>
      <c r="F16" s="158" t="str">
        <f>受講者登録表!H12</f>
        <v/>
      </c>
      <c r="G16" s="158" t="str">
        <f>受講者登録表!I12</f>
        <v/>
      </c>
      <c r="H16" s="158" t="str">
        <f>受講者登録表!J12</f>
        <v/>
      </c>
      <c r="I16" s="158" t="str">
        <f>受講者登録表!K12</f>
        <v/>
      </c>
      <c r="J16" s="158" t="str">
        <f>受講者登録表!L12</f>
        <v/>
      </c>
      <c r="K16" s="158" t="str">
        <f>受講者登録表!M12</f>
        <v/>
      </c>
      <c r="L16" s="158" t="str">
        <f>受講者登録表!N12</f>
        <v/>
      </c>
      <c r="M16" s="158" t="str">
        <f>受講者登録表!O12</f>
        <v/>
      </c>
      <c r="N16" s="158" t="str">
        <f>受講者登録表!P12</f>
        <v/>
      </c>
      <c r="O16" s="158" t="str">
        <f>受講者登録表!Q12</f>
        <v/>
      </c>
    </row>
    <row r="17" spans="1:16" ht="20">
      <c r="A17" s="164" t="s">
        <v>237</v>
      </c>
      <c r="B17" s="160" t="s">
        <v>478</v>
      </c>
      <c r="C17" s="161" t="s">
        <v>256</v>
      </c>
      <c r="D17" s="160">
        <f>受講者登録表!F13</f>
        <v>0</v>
      </c>
      <c r="E17" s="160">
        <f>受講者登録表!G13</f>
        <v>0</v>
      </c>
      <c r="F17" s="160">
        <f>受講者登録表!H13</f>
        <v>0</v>
      </c>
      <c r="G17" s="160">
        <f>受講者登録表!I13</f>
        <v>0</v>
      </c>
      <c r="H17" s="160">
        <f>受講者登録表!J13</f>
        <v>0</v>
      </c>
      <c r="I17" s="160">
        <f>受講者登録表!K13</f>
        <v>0</v>
      </c>
      <c r="J17" s="160">
        <f>受講者登録表!L13</f>
        <v>0</v>
      </c>
      <c r="K17" s="160">
        <f>受講者登録表!M13</f>
        <v>0</v>
      </c>
      <c r="L17" s="160">
        <f>受講者登録表!N13</f>
        <v>0</v>
      </c>
      <c r="M17" s="160">
        <f>受講者登録表!O13</f>
        <v>0</v>
      </c>
      <c r="N17" s="160">
        <f>受講者登録表!P13</f>
        <v>0</v>
      </c>
      <c r="O17" s="160">
        <f>受講者登録表!Q13</f>
        <v>0</v>
      </c>
      <c r="P17" t="str">
        <f>IF(SUM(P18:P47)&gt;0,"エラー","")</f>
        <v/>
      </c>
    </row>
    <row r="18" spans="1:16" ht="14">
      <c r="A18" t="str">
        <f>IF(受講者登録表!C15&lt;&gt;"",受講者登録表!B15,"")</f>
        <v/>
      </c>
      <c r="B18" s="162" t="str">
        <f>IF(受講者登録表!C15&lt;&gt;"",受講者登録表!C15,"")</f>
        <v/>
      </c>
      <c r="C18" s="162" t="str">
        <f>IF(B18&lt;&gt;"",受講者登録表!D15,"")</f>
        <v/>
      </c>
      <c r="D18" s="163" t="str">
        <f>IF(受講者登録表!F15="●",1,"")</f>
        <v/>
      </c>
      <c r="E18" s="163" t="str">
        <f>IF(受講者登録表!G15="●",1,"")</f>
        <v/>
      </c>
      <c r="F18" s="163" t="str">
        <f>IF(受講者登録表!H15="●",1,"")</f>
        <v/>
      </c>
      <c r="G18" s="163" t="str">
        <f>IF(受講者登録表!I15="●",1,"")</f>
        <v/>
      </c>
      <c r="H18" s="163" t="str">
        <f>IF(受講者登録表!J15="●",1,"")</f>
        <v/>
      </c>
      <c r="I18" s="163" t="str">
        <f>IF(受講者登録表!K15="●",1,"")</f>
        <v/>
      </c>
      <c r="J18" s="163" t="str">
        <f>IF(受講者登録表!L15="●",1,"")</f>
        <v/>
      </c>
      <c r="K18" s="163" t="str">
        <f>IF(受講者登録表!M15="●",1,"")</f>
        <v/>
      </c>
      <c r="L18" s="163" t="str">
        <f>IF(受講者登録表!N15="●",1,"")</f>
        <v/>
      </c>
      <c r="M18" s="163" t="str">
        <f>IF(受講者登録表!O15="●",1,"")</f>
        <v/>
      </c>
      <c r="N18" s="163" t="str">
        <f>IF(受講者登録表!P15="●",1,"")</f>
        <v/>
      </c>
      <c r="O18" s="163" t="str">
        <f>IF(受講者登録表!Q15="●",1,"")</f>
        <v/>
      </c>
      <c r="P18">
        <f>受講者登録表!Z15</f>
        <v>0</v>
      </c>
    </row>
    <row r="19" spans="1:16" ht="14">
      <c r="A19" t="str">
        <f>IF(受講者登録表!C16&lt;&gt;"",受講者登録表!B16,"")</f>
        <v/>
      </c>
      <c r="B19" s="162" t="str">
        <f>IF(受講者登録表!C16&lt;&gt;"",受講者登録表!C16,"")</f>
        <v/>
      </c>
      <c r="C19" s="162" t="str">
        <f>IF(B19&lt;&gt;"",受講者登録表!D16,"")</f>
        <v/>
      </c>
      <c r="D19" s="163" t="str">
        <f>IF(受講者登録表!F16="●",1,"")</f>
        <v/>
      </c>
      <c r="E19" s="163" t="str">
        <f>IF(受講者登録表!G16="●",1,"")</f>
        <v/>
      </c>
      <c r="F19" s="163" t="str">
        <f>IF(受講者登録表!H16="●",1,"")</f>
        <v/>
      </c>
      <c r="G19" s="163" t="str">
        <f>IF(受講者登録表!I16="●",1,"")</f>
        <v/>
      </c>
      <c r="H19" s="163" t="str">
        <f>IF(受講者登録表!J16="●",1,"")</f>
        <v/>
      </c>
      <c r="I19" s="163" t="str">
        <f>IF(受講者登録表!K16="●",1,"")</f>
        <v/>
      </c>
      <c r="J19" s="163" t="str">
        <f>IF(受講者登録表!L16="●",1,"")</f>
        <v/>
      </c>
      <c r="K19" s="163" t="str">
        <f>IF(受講者登録表!M16="●",1,"")</f>
        <v/>
      </c>
      <c r="L19" s="163" t="str">
        <f>IF(受講者登録表!N16="●",1,"")</f>
        <v/>
      </c>
      <c r="M19" s="163" t="str">
        <f>IF(受講者登録表!O16="●",1,"")</f>
        <v/>
      </c>
      <c r="N19" s="163" t="str">
        <f>IF(受講者登録表!P16="●",1,"")</f>
        <v/>
      </c>
      <c r="O19" s="163" t="str">
        <f>IF(受講者登録表!Q16="●",1,"")</f>
        <v/>
      </c>
      <c r="P19">
        <f>受講者登録表!Z16</f>
        <v>0</v>
      </c>
    </row>
    <row r="20" spans="1:16" ht="14">
      <c r="A20" t="str">
        <f>IF(受講者登録表!C17&lt;&gt;"",受講者登録表!B17,"")</f>
        <v/>
      </c>
      <c r="B20" s="162" t="str">
        <f>IF(受講者登録表!C17&lt;&gt;"",受講者登録表!C17,"")</f>
        <v/>
      </c>
      <c r="C20" s="162" t="str">
        <f>IF(B20&lt;&gt;"",受講者登録表!D17,"")</f>
        <v/>
      </c>
      <c r="D20" s="163" t="str">
        <f>IF(受講者登録表!F17="●",1,"")</f>
        <v/>
      </c>
      <c r="E20" s="163" t="str">
        <f>IF(受講者登録表!G17="●",1,"")</f>
        <v/>
      </c>
      <c r="F20" s="163" t="str">
        <f>IF(受講者登録表!H17="●",1,"")</f>
        <v/>
      </c>
      <c r="G20" s="163" t="str">
        <f>IF(受講者登録表!I17="●",1,"")</f>
        <v/>
      </c>
      <c r="H20" s="163" t="str">
        <f>IF(受講者登録表!J17="●",1,"")</f>
        <v/>
      </c>
      <c r="I20" s="163" t="str">
        <f>IF(受講者登録表!K17="●",1,"")</f>
        <v/>
      </c>
      <c r="J20" s="163" t="str">
        <f>IF(受講者登録表!L17="●",1,"")</f>
        <v/>
      </c>
      <c r="K20" s="163" t="str">
        <f>IF(受講者登録表!M17="●",1,"")</f>
        <v/>
      </c>
      <c r="L20" s="163" t="str">
        <f>IF(受講者登録表!N17="●",1,"")</f>
        <v/>
      </c>
      <c r="M20" s="163" t="str">
        <f>IF(受講者登録表!O17="●",1,"")</f>
        <v/>
      </c>
      <c r="N20" s="163" t="str">
        <f>IF(受講者登録表!P17="●",1,"")</f>
        <v/>
      </c>
      <c r="O20" s="163" t="str">
        <f>IF(受講者登録表!Q17="●",1,"")</f>
        <v/>
      </c>
      <c r="P20">
        <f>受講者登録表!Z17</f>
        <v>0</v>
      </c>
    </row>
    <row r="21" spans="1:16" ht="14">
      <c r="A21" t="str">
        <f>IF(受講者登録表!C18&lt;&gt;"",受講者登録表!B18,"")</f>
        <v/>
      </c>
      <c r="B21" s="162" t="str">
        <f>IF(受講者登録表!C18&lt;&gt;"",受講者登録表!C18,"")</f>
        <v/>
      </c>
      <c r="C21" s="162" t="str">
        <f>IF(B21&lt;&gt;"",受講者登録表!D18,"")</f>
        <v/>
      </c>
      <c r="D21" s="163" t="str">
        <f>IF(受講者登録表!F18="●",1,"")</f>
        <v/>
      </c>
      <c r="E21" s="163" t="str">
        <f>IF(受講者登録表!G18="●",1,"")</f>
        <v/>
      </c>
      <c r="F21" s="163" t="str">
        <f>IF(受講者登録表!H18="●",1,"")</f>
        <v/>
      </c>
      <c r="G21" s="163" t="str">
        <f>IF(受講者登録表!I18="●",1,"")</f>
        <v/>
      </c>
      <c r="H21" s="163" t="str">
        <f>IF(受講者登録表!J18="●",1,"")</f>
        <v/>
      </c>
      <c r="I21" s="163" t="str">
        <f>IF(受講者登録表!K18="●",1,"")</f>
        <v/>
      </c>
      <c r="J21" s="163" t="str">
        <f>IF(受講者登録表!L18="●",1,"")</f>
        <v/>
      </c>
      <c r="K21" s="163" t="str">
        <f>IF(受講者登録表!M18="●",1,"")</f>
        <v/>
      </c>
      <c r="L21" s="163" t="str">
        <f>IF(受講者登録表!N18="●",1,"")</f>
        <v/>
      </c>
      <c r="M21" s="163" t="str">
        <f>IF(受講者登録表!O18="●",1,"")</f>
        <v/>
      </c>
      <c r="N21" s="163" t="str">
        <f>IF(受講者登録表!P18="●",1,"")</f>
        <v/>
      </c>
      <c r="O21" s="163" t="str">
        <f>IF(受講者登録表!Q18="●",1,"")</f>
        <v/>
      </c>
      <c r="P21">
        <f>受講者登録表!Z18</f>
        <v>0</v>
      </c>
    </row>
    <row r="22" spans="1:16" ht="14">
      <c r="A22" t="str">
        <f>IF(受講者登録表!C19&lt;&gt;"",受講者登録表!B19,"")</f>
        <v/>
      </c>
      <c r="B22" s="162" t="str">
        <f>IF(受講者登録表!C19&lt;&gt;"",受講者登録表!C19,"")</f>
        <v/>
      </c>
      <c r="C22" s="162" t="str">
        <f>IF(B22&lt;&gt;"",受講者登録表!D19,"")</f>
        <v/>
      </c>
      <c r="D22" s="163" t="str">
        <f>IF(受講者登録表!F19="●",1,"")</f>
        <v/>
      </c>
      <c r="E22" s="163" t="str">
        <f>IF(受講者登録表!G19="●",1,"")</f>
        <v/>
      </c>
      <c r="F22" s="163" t="str">
        <f>IF(受講者登録表!H19="●",1,"")</f>
        <v/>
      </c>
      <c r="G22" s="163" t="str">
        <f>IF(受講者登録表!I19="●",1,"")</f>
        <v/>
      </c>
      <c r="H22" s="163" t="str">
        <f>IF(受講者登録表!J19="●",1,"")</f>
        <v/>
      </c>
      <c r="I22" s="163" t="str">
        <f>IF(受講者登録表!K19="●",1,"")</f>
        <v/>
      </c>
      <c r="J22" s="163" t="str">
        <f>IF(受講者登録表!L19="●",1,"")</f>
        <v/>
      </c>
      <c r="K22" s="163" t="str">
        <f>IF(受講者登録表!M19="●",1,"")</f>
        <v/>
      </c>
      <c r="L22" s="163" t="str">
        <f>IF(受講者登録表!N19="●",1,"")</f>
        <v/>
      </c>
      <c r="M22" s="163" t="str">
        <f>IF(受講者登録表!O19="●",1,"")</f>
        <v/>
      </c>
      <c r="N22" s="163" t="str">
        <f>IF(受講者登録表!P19="●",1,"")</f>
        <v/>
      </c>
      <c r="O22" s="163" t="str">
        <f>IF(受講者登録表!Q19="●",1,"")</f>
        <v/>
      </c>
      <c r="P22">
        <f>受講者登録表!Z19</f>
        <v>0</v>
      </c>
    </row>
    <row r="23" spans="1:16" ht="14">
      <c r="A23" t="str">
        <f>IF(受講者登録表!C20&lt;&gt;"",受講者登録表!B20,"")</f>
        <v/>
      </c>
      <c r="B23" s="162" t="str">
        <f>IF(受講者登録表!C20&lt;&gt;"",受講者登録表!C20,"")</f>
        <v/>
      </c>
      <c r="C23" s="162" t="str">
        <f>IF(B23&lt;&gt;"",受講者登録表!D20,"")</f>
        <v/>
      </c>
      <c r="D23" s="163" t="str">
        <f>IF(受講者登録表!F20="●",1,"")</f>
        <v/>
      </c>
      <c r="E23" s="163" t="str">
        <f>IF(受講者登録表!G20="●",1,"")</f>
        <v/>
      </c>
      <c r="F23" s="163" t="str">
        <f>IF(受講者登録表!H20="●",1,"")</f>
        <v/>
      </c>
      <c r="G23" s="163" t="str">
        <f>IF(受講者登録表!I20="●",1,"")</f>
        <v/>
      </c>
      <c r="H23" s="163" t="str">
        <f>IF(受講者登録表!J20="●",1,"")</f>
        <v/>
      </c>
      <c r="I23" s="163" t="str">
        <f>IF(受講者登録表!K20="●",1,"")</f>
        <v/>
      </c>
      <c r="J23" s="163" t="str">
        <f>IF(受講者登録表!L20="●",1,"")</f>
        <v/>
      </c>
      <c r="K23" s="163" t="str">
        <f>IF(受講者登録表!M20="●",1,"")</f>
        <v/>
      </c>
      <c r="L23" s="163" t="str">
        <f>IF(受講者登録表!N20="●",1,"")</f>
        <v/>
      </c>
      <c r="M23" s="163" t="str">
        <f>IF(受講者登録表!O20="●",1,"")</f>
        <v/>
      </c>
      <c r="N23" s="163" t="str">
        <f>IF(受講者登録表!P20="●",1,"")</f>
        <v/>
      </c>
      <c r="O23" s="163" t="str">
        <f>IF(受講者登録表!Q20="●",1,"")</f>
        <v/>
      </c>
      <c r="P23">
        <f>受講者登録表!Z20</f>
        <v>0</v>
      </c>
    </row>
    <row r="24" spans="1:16" ht="14">
      <c r="A24" t="str">
        <f>IF(受講者登録表!C21&lt;&gt;"",受講者登録表!B21,"")</f>
        <v/>
      </c>
      <c r="B24" s="162" t="str">
        <f>IF(受講者登録表!C21&lt;&gt;"",受講者登録表!C21,"")</f>
        <v/>
      </c>
      <c r="C24" s="162" t="str">
        <f>IF(B24&lt;&gt;"",受講者登録表!D21,"")</f>
        <v/>
      </c>
      <c r="D24" s="163" t="str">
        <f>IF(受講者登録表!F21="●",1,"")</f>
        <v/>
      </c>
      <c r="E24" s="163" t="str">
        <f>IF(受講者登録表!G21="●",1,"")</f>
        <v/>
      </c>
      <c r="F24" s="163" t="str">
        <f>IF(受講者登録表!H21="●",1,"")</f>
        <v/>
      </c>
      <c r="G24" s="163" t="str">
        <f>IF(受講者登録表!I21="●",1,"")</f>
        <v/>
      </c>
      <c r="H24" s="163" t="str">
        <f>IF(受講者登録表!J21="●",1,"")</f>
        <v/>
      </c>
      <c r="I24" s="163" t="str">
        <f>IF(受講者登録表!K21="●",1,"")</f>
        <v/>
      </c>
      <c r="J24" s="163" t="str">
        <f>IF(受講者登録表!L21="●",1,"")</f>
        <v/>
      </c>
      <c r="K24" s="163" t="str">
        <f>IF(受講者登録表!M21="●",1,"")</f>
        <v/>
      </c>
      <c r="L24" s="163" t="str">
        <f>IF(受講者登録表!N21="●",1,"")</f>
        <v/>
      </c>
      <c r="M24" s="163" t="str">
        <f>IF(受講者登録表!O21="●",1,"")</f>
        <v/>
      </c>
      <c r="N24" s="163" t="str">
        <f>IF(受講者登録表!P21="●",1,"")</f>
        <v/>
      </c>
      <c r="O24" s="163" t="str">
        <f>IF(受講者登録表!Q21="●",1,"")</f>
        <v/>
      </c>
      <c r="P24">
        <f>受講者登録表!Z21</f>
        <v>0</v>
      </c>
    </row>
    <row r="25" spans="1:16" ht="14">
      <c r="A25" t="str">
        <f>IF(受講者登録表!C22&lt;&gt;"",受講者登録表!B22,"")</f>
        <v/>
      </c>
      <c r="B25" s="162" t="str">
        <f>IF(受講者登録表!C22&lt;&gt;"",受講者登録表!C22,"")</f>
        <v/>
      </c>
      <c r="C25" s="162" t="str">
        <f>IF(B25&lt;&gt;"",受講者登録表!D22,"")</f>
        <v/>
      </c>
      <c r="D25" s="163" t="str">
        <f>IF(受講者登録表!F22="●",1,"")</f>
        <v/>
      </c>
      <c r="E25" s="163" t="str">
        <f>IF(受講者登録表!G22="●",1,"")</f>
        <v/>
      </c>
      <c r="F25" s="163" t="str">
        <f>IF(受講者登録表!H22="●",1,"")</f>
        <v/>
      </c>
      <c r="G25" s="163" t="str">
        <f>IF(受講者登録表!I22="●",1,"")</f>
        <v/>
      </c>
      <c r="H25" s="163" t="str">
        <f>IF(受講者登録表!J22="●",1,"")</f>
        <v/>
      </c>
      <c r="I25" s="163" t="str">
        <f>IF(受講者登録表!K22="●",1,"")</f>
        <v/>
      </c>
      <c r="J25" s="163" t="str">
        <f>IF(受講者登録表!L22="●",1,"")</f>
        <v/>
      </c>
      <c r="K25" s="163" t="str">
        <f>IF(受講者登録表!M22="●",1,"")</f>
        <v/>
      </c>
      <c r="L25" s="163" t="str">
        <f>IF(受講者登録表!N22="●",1,"")</f>
        <v/>
      </c>
      <c r="M25" s="163" t="str">
        <f>IF(受講者登録表!O22="●",1,"")</f>
        <v/>
      </c>
      <c r="N25" s="163" t="str">
        <f>IF(受講者登録表!P22="●",1,"")</f>
        <v/>
      </c>
      <c r="O25" s="163" t="str">
        <f>IF(受講者登録表!Q22="●",1,"")</f>
        <v/>
      </c>
      <c r="P25">
        <f>受講者登録表!Z22</f>
        <v>0</v>
      </c>
    </row>
    <row r="26" spans="1:16" ht="14">
      <c r="A26" t="str">
        <f>IF(受講者登録表!C23&lt;&gt;"",受講者登録表!B23,"")</f>
        <v/>
      </c>
      <c r="B26" s="162" t="str">
        <f>IF(受講者登録表!C23&lt;&gt;"",受講者登録表!C23,"")</f>
        <v/>
      </c>
      <c r="C26" s="162" t="str">
        <f>IF(B26&lt;&gt;"",受講者登録表!D23,"")</f>
        <v/>
      </c>
      <c r="D26" s="163" t="str">
        <f>IF(受講者登録表!F23="●",1,"")</f>
        <v/>
      </c>
      <c r="E26" s="163" t="str">
        <f>IF(受講者登録表!G23="●",1,"")</f>
        <v/>
      </c>
      <c r="F26" s="163" t="str">
        <f>IF(受講者登録表!H23="●",1,"")</f>
        <v/>
      </c>
      <c r="G26" s="163" t="str">
        <f>IF(受講者登録表!I23="●",1,"")</f>
        <v/>
      </c>
      <c r="H26" s="163" t="str">
        <f>IF(受講者登録表!J23="●",1,"")</f>
        <v/>
      </c>
      <c r="I26" s="163" t="str">
        <f>IF(受講者登録表!K23="●",1,"")</f>
        <v/>
      </c>
      <c r="J26" s="163" t="str">
        <f>IF(受講者登録表!L23="●",1,"")</f>
        <v/>
      </c>
      <c r="K26" s="163" t="str">
        <f>IF(受講者登録表!M23="●",1,"")</f>
        <v/>
      </c>
      <c r="L26" s="163" t="str">
        <f>IF(受講者登録表!N23="●",1,"")</f>
        <v/>
      </c>
      <c r="M26" s="163" t="str">
        <f>IF(受講者登録表!O23="●",1,"")</f>
        <v/>
      </c>
      <c r="N26" s="163" t="str">
        <f>IF(受講者登録表!P23="●",1,"")</f>
        <v/>
      </c>
      <c r="O26" s="163" t="str">
        <f>IF(受講者登録表!Q23="●",1,"")</f>
        <v/>
      </c>
      <c r="P26">
        <f>受講者登録表!Z23</f>
        <v>0</v>
      </c>
    </row>
    <row r="27" spans="1:16" ht="14">
      <c r="A27" t="str">
        <f>IF(受講者登録表!C24&lt;&gt;"",受講者登録表!B24,"")</f>
        <v/>
      </c>
      <c r="B27" s="162" t="str">
        <f>IF(受講者登録表!C24&lt;&gt;"",受講者登録表!C24,"")</f>
        <v/>
      </c>
      <c r="C27" s="162" t="str">
        <f>IF(B27&lt;&gt;"",受講者登録表!D24,"")</f>
        <v/>
      </c>
      <c r="D27" s="163" t="str">
        <f>IF(受講者登録表!F24="●",1,"")</f>
        <v/>
      </c>
      <c r="E27" s="163" t="str">
        <f>IF(受講者登録表!G24="●",1,"")</f>
        <v/>
      </c>
      <c r="F27" s="163" t="str">
        <f>IF(受講者登録表!H24="●",1,"")</f>
        <v/>
      </c>
      <c r="G27" s="163" t="str">
        <f>IF(受講者登録表!I24="●",1,"")</f>
        <v/>
      </c>
      <c r="H27" s="163" t="str">
        <f>IF(受講者登録表!J24="●",1,"")</f>
        <v/>
      </c>
      <c r="I27" s="163" t="str">
        <f>IF(受講者登録表!K24="●",1,"")</f>
        <v/>
      </c>
      <c r="J27" s="163" t="str">
        <f>IF(受講者登録表!L24="●",1,"")</f>
        <v/>
      </c>
      <c r="K27" s="163" t="str">
        <f>IF(受講者登録表!M24="●",1,"")</f>
        <v/>
      </c>
      <c r="L27" s="163" t="str">
        <f>IF(受講者登録表!N24="●",1,"")</f>
        <v/>
      </c>
      <c r="M27" s="163" t="str">
        <f>IF(受講者登録表!O24="●",1,"")</f>
        <v/>
      </c>
      <c r="N27" s="163" t="str">
        <f>IF(受講者登録表!P24="●",1,"")</f>
        <v/>
      </c>
      <c r="O27" s="163" t="str">
        <f>IF(受講者登録表!Q24="●",1,"")</f>
        <v/>
      </c>
      <c r="P27">
        <f>受講者登録表!Z24</f>
        <v>0</v>
      </c>
    </row>
    <row r="28" spans="1:16" ht="14">
      <c r="A28" t="str">
        <f>IF(受講者登録表!C25&lt;&gt;"",受講者登録表!B25,"")</f>
        <v/>
      </c>
      <c r="B28" s="162" t="str">
        <f>IF(受講者登録表!C25&lt;&gt;"",受講者登録表!C25,"")</f>
        <v/>
      </c>
      <c r="C28" s="162" t="str">
        <f>IF(B28&lt;&gt;"",受講者登録表!D25,"")</f>
        <v/>
      </c>
      <c r="D28" s="163" t="str">
        <f>IF(受講者登録表!F25="●",1,"")</f>
        <v/>
      </c>
      <c r="E28" s="163" t="str">
        <f>IF(受講者登録表!G25="●",1,"")</f>
        <v/>
      </c>
      <c r="F28" s="163" t="str">
        <f>IF(受講者登録表!H25="●",1,"")</f>
        <v/>
      </c>
      <c r="G28" s="163" t="str">
        <f>IF(受講者登録表!I25="●",1,"")</f>
        <v/>
      </c>
      <c r="H28" s="163" t="str">
        <f>IF(受講者登録表!J25="●",1,"")</f>
        <v/>
      </c>
      <c r="I28" s="163" t="str">
        <f>IF(受講者登録表!K25="●",1,"")</f>
        <v/>
      </c>
      <c r="J28" s="163" t="str">
        <f>IF(受講者登録表!L25="●",1,"")</f>
        <v/>
      </c>
      <c r="K28" s="163" t="str">
        <f>IF(受講者登録表!M25="●",1,"")</f>
        <v/>
      </c>
      <c r="L28" s="163" t="str">
        <f>IF(受講者登録表!N25="●",1,"")</f>
        <v/>
      </c>
      <c r="M28" s="163" t="str">
        <f>IF(受講者登録表!O25="●",1,"")</f>
        <v/>
      </c>
      <c r="N28" s="163" t="str">
        <f>IF(受講者登録表!P25="●",1,"")</f>
        <v/>
      </c>
      <c r="O28" s="163" t="str">
        <f>IF(受講者登録表!Q25="●",1,"")</f>
        <v/>
      </c>
      <c r="P28">
        <f>受講者登録表!Z25</f>
        <v>0</v>
      </c>
    </row>
    <row r="29" spans="1:16" ht="14">
      <c r="A29" t="str">
        <f>IF(受講者登録表!C26&lt;&gt;"",受講者登録表!B26,"")</f>
        <v/>
      </c>
      <c r="B29" s="162" t="str">
        <f>IF(受講者登録表!C26&lt;&gt;"",受講者登録表!C26,"")</f>
        <v/>
      </c>
      <c r="C29" s="162" t="str">
        <f>IF(B29&lt;&gt;"",受講者登録表!D26,"")</f>
        <v/>
      </c>
      <c r="D29" s="163" t="str">
        <f>IF(受講者登録表!F26="●",1,"")</f>
        <v/>
      </c>
      <c r="E29" s="163" t="str">
        <f>IF(受講者登録表!G26="●",1,"")</f>
        <v/>
      </c>
      <c r="F29" s="163" t="str">
        <f>IF(受講者登録表!H26="●",1,"")</f>
        <v/>
      </c>
      <c r="G29" s="163" t="str">
        <f>IF(受講者登録表!I26="●",1,"")</f>
        <v/>
      </c>
      <c r="H29" s="163" t="str">
        <f>IF(受講者登録表!J26="●",1,"")</f>
        <v/>
      </c>
      <c r="I29" s="163" t="str">
        <f>IF(受講者登録表!K26="●",1,"")</f>
        <v/>
      </c>
      <c r="J29" s="163" t="str">
        <f>IF(受講者登録表!L26="●",1,"")</f>
        <v/>
      </c>
      <c r="K29" s="163" t="str">
        <f>IF(受講者登録表!M26="●",1,"")</f>
        <v/>
      </c>
      <c r="L29" s="163" t="str">
        <f>IF(受講者登録表!N26="●",1,"")</f>
        <v/>
      </c>
      <c r="M29" s="163" t="str">
        <f>IF(受講者登録表!O26="●",1,"")</f>
        <v/>
      </c>
      <c r="N29" s="163" t="str">
        <f>IF(受講者登録表!P26="●",1,"")</f>
        <v/>
      </c>
      <c r="O29" s="163" t="str">
        <f>IF(受講者登録表!Q26="●",1,"")</f>
        <v/>
      </c>
      <c r="P29">
        <f>受講者登録表!Z26</f>
        <v>0</v>
      </c>
    </row>
    <row r="30" spans="1:16" ht="14">
      <c r="A30" t="str">
        <f>IF(受講者登録表!C27&lt;&gt;"",受講者登録表!B27,"")</f>
        <v/>
      </c>
      <c r="B30" s="162" t="str">
        <f>IF(受講者登録表!C27&lt;&gt;"",受講者登録表!C27,"")</f>
        <v/>
      </c>
      <c r="C30" s="162" t="str">
        <f>IF(B30&lt;&gt;"",受講者登録表!D27,"")</f>
        <v/>
      </c>
      <c r="D30" s="163" t="str">
        <f>IF(受講者登録表!F27="●",1,"")</f>
        <v/>
      </c>
      <c r="E30" s="163" t="str">
        <f>IF(受講者登録表!G27="●",1,"")</f>
        <v/>
      </c>
      <c r="F30" s="163" t="str">
        <f>IF(受講者登録表!H27="●",1,"")</f>
        <v/>
      </c>
      <c r="G30" s="163" t="str">
        <f>IF(受講者登録表!I27="●",1,"")</f>
        <v/>
      </c>
      <c r="H30" s="163" t="str">
        <f>IF(受講者登録表!J27="●",1,"")</f>
        <v/>
      </c>
      <c r="I30" s="163" t="str">
        <f>IF(受講者登録表!K27="●",1,"")</f>
        <v/>
      </c>
      <c r="J30" s="163" t="str">
        <f>IF(受講者登録表!L27="●",1,"")</f>
        <v/>
      </c>
      <c r="K30" s="163" t="str">
        <f>IF(受講者登録表!M27="●",1,"")</f>
        <v/>
      </c>
      <c r="L30" s="163" t="str">
        <f>IF(受講者登録表!N27="●",1,"")</f>
        <v/>
      </c>
      <c r="M30" s="163" t="str">
        <f>IF(受講者登録表!O27="●",1,"")</f>
        <v/>
      </c>
      <c r="N30" s="163" t="str">
        <f>IF(受講者登録表!P27="●",1,"")</f>
        <v/>
      </c>
      <c r="O30" s="163" t="str">
        <f>IF(受講者登録表!Q27="●",1,"")</f>
        <v/>
      </c>
      <c r="P30">
        <f>受講者登録表!Z27</f>
        <v>0</v>
      </c>
    </row>
    <row r="31" spans="1:16" ht="14">
      <c r="A31" t="str">
        <f>IF(受講者登録表!C28&lt;&gt;"",受講者登録表!B28,"")</f>
        <v/>
      </c>
      <c r="B31" s="162" t="str">
        <f>IF(受講者登録表!C28&lt;&gt;"",受講者登録表!C28,"")</f>
        <v/>
      </c>
      <c r="C31" s="162" t="str">
        <f>IF(B31&lt;&gt;"",受講者登録表!D28,"")</f>
        <v/>
      </c>
      <c r="D31" s="163" t="str">
        <f>IF(受講者登録表!F28="●",1,"")</f>
        <v/>
      </c>
      <c r="E31" s="163" t="str">
        <f>IF(受講者登録表!G28="●",1,"")</f>
        <v/>
      </c>
      <c r="F31" s="163" t="str">
        <f>IF(受講者登録表!H28="●",1,"")</f>
        <v/>
      </c>
      <c r="G31" s="163" t="str">
        <f>IF(受講者登録表!I28="●",1,"")</f>
        <v/>
      </c>
      <c r="H31" s="163" t="str">
        <f>IF(受講者登録表!J28="●",1,"")</f>
        <v/>
      </c>
      <c r="I31" s="163" t="str">
        <f>IF(受講者登録表!K28="●",1,"")</f>
        <v/>
      </c>
      <c r="J31" s="163" t="str">
        <f>IF(受講者登録表!L28="●",1,"")</f>
        <v/>
      </c>
      <c r="K31" s="163" t="str">
        <f>IF(受講者登録表!M28="●",1,"")</f>
        <v/>
      </c>
      <c r="L31" s="163" t="str">
        <f>IF(受講者登録表!N28="●",1,"")</f>
        <v/>
      </c>
      <c r="M31" s="163" t="str">
        <f>IF(受講者登録表!O28="●",1,"")</f>
        <v/>
      </c>
      <c r="N31" s="163" t="str">
        <f>IF(受講者登録表!P28="●",1,"")</f>
        <v/>
      </c>
      <c r="O31" s="163" t="str">
        <f>IF(受講者登録表!Q28="●",1,"")</f>
        <v/>
      </c>
      <c r="P31">
        <f>受講者登録表!Z28</f>
        <v>0</v>
      </c>
    </row>
    <row r="32" spans="1:16" ht="14">
      <c r="A32" t="str">
        <f>IF(受講者登録表!C29&lt;&gt;"",受講者登録表!B29,"")</f>
        <v/>
      </c>
      <c r="B32" s="162" t="str">
        <f>IF(受講者登録表!C29&lt;&gt;"",受講者登録表!C29,"")</f>
        <v/>
      </c>
      <c r="C32" s="162" t="str">
        <f>IF(B32&lt;&gt;"",受講者登録表!D29,"")</f>
        <v/>
      </c>
      <c r="D32" s="163" t="str">
        <f>IF(受講者登録表!F29="●",1,"")</f>
        <v/>
      </c>
      <c r="E32" s="163" t="str">
        <f>IF(受講者登録表!G29="●",1,"")</f>
        <v/>
      </c>
      <c r="F32" s="163" t="str">
        <f>IF(受講者登録表!H29="●",1,"")</f>
        <v/>
      </c>
      <c r="G32" s="163" t="str">
        <f>IF(受講者登録表!I29="●",1,"")</f>
        <v/>
      </c>
      <c r="H32" s="163" t="str">
        <f>IF(受講者登録表!J29="●",1,"")</f>
        <v/>
      </c>
      <c r="I32" s="163" t="str">
        <f>IF(受講者登録表!K29="●",1,"")</f>
        <v/>
      </c>
      <c r="J32" s="163" t="str">
        <f>IF(受講者登録表!L29="●",1,"")</f>
        <v/>
      </c>
      <c r="K32" s="163" t="str">
        <f>IF(受講者登録表!M29="●",1,"")</f>
        <v/>
      </c>
      <c r="L32" s="163" t="str">
        <f>IF(受講者登録表!N29="●",1,"")</f>
        <v/>
      </c>
      <c r="M32" s="163" t="str">
        <f>IF(受講者登録表!O29="●",1,"")</f>
        <v/>
      </c>
      <c r="N32" s="163" t="str">
        <f>IF(受講者登録表!P29="●",1,"")</f>
        <v/>
      </c>
      <c r="O32" s="163" t="str">
        <f>IF(受講者登録表!Q29="●",1,"")</f>
        <v/>
      </c>
      <c r="P32">
        <f>受講者登録表!Z29</f>
        <v>0</v>
      </c>
    </row>
    <row r="33" spans="1:16" ht="14">
      <c r="A33" t="str">
        <f>IF(受講者登録表!C30&lt;&gt;"",受講者登録表!B30,"")</f>
        <v/>
      </c>
      <c r="B33" s="162" t="str">
        <f>IF(受講者登録表!C30&lt;&gt;"",受講者登録表!C30,"")</f>
        <v/>
      </c>
      <c r="C33" s="162" t="str">
        <f>IF(B33&lt;&gt;"",受講者登録表!D30,"")</f>
        <v/>
      </c>
      <c r="D33" s="163" t="str">
        <f>IF(受講者登録表!F30="●",1,"")</f>
        <v/>
      </c>
      <c r="E33" s="163" t="str">
        <f>IF(受講者登録表!G30="●",1,"")</f>
        <v/>
      </c>
      <c r="F33" s="163" t="str">
        <f>IF(受講者登録表!H30="●",1,"")</f>
        <v/>
      </c>
      <c r="G33" s="163" t="str">
        <f>IF(受講者登録表!I30="●",1,"")</f>
        <v/>
      </c>
      <c r="H33" s="163" t="str">
        <f>IF(受講者登録表!J30="●",1,"")</f>
        <v/>
      </c>
      <c r="I33" s="163" t="str">
        <f>IF(受講者登録表!K30="●",1,"")</f>
        <v/>
      </c>
      <c r="J33" s="163" t="str">
        <f>IF(受講者登録表!L30="●",1,"")</f>
        <v/>
      </c>
      <c r="K33" s="163" t="str">
        <f>IF(受講者登録表!M30="●",1,"")</f>
        <v/>
      </c>
      <c r="L33" s="163" t="str">
        <f>IF(受講者登録表!N30="●",1,"")</f>
        <v/>
      </c>
      <c r="M33" s="163" t="str">
        <f>IF(受講者登録表!O30="●",1,"")</f>
        <v/>
      </c>
      <c r="N33" s="163" t="str">
        <f>IF(受講者登録表!P30="●",1,"")</f>
        <v/>
      </c>
      <c r="O33" s="163" t="str">
        <f>IF(受講者登録表!Q30="●",1,"")</f>
        <v/>
      </c>
      <c r="P33">
        <f>受講者登録表!Z30</f>
        <v>0</v>
      </c>
    </row>
    <row r="34" spans="1:16" ht="14">
      <c r="A34" t="str">
        <f>IF(受講者登録表!C31&lt;&gt;"",受講者登録表!B31,"")</f>
        <v/>
      </c>
      <c r="B34" s="162" t="str">
        <f>IF(受講者登録表!C31&lt;&gt;"",受講者登録表!C31,"")</f>
        <v/>
      </c>
      <c r="C34" s="162" t="str">
        <f>IF(B34&lt;&gt;"",受講者登録表!D31,"")</f>
        <v/>
      </c>
      <c r="D34" s="163" t="str">
        <f>IF(受講者登録表!F31="●",1,"")</f>
        <v/>
      </c>
      <c r="E34" s="163" t="str">
        <f>IF(受講者登録表!G31="●",1,"")</f>
        <v/>
      </c>
      <c r="F34" s="163" t="str">
        <f>IF(受講者登録表!H31="●",1,"")</f>
        <v/>
      </c>
      <c r="G34" s="163" t="str">
        <f>IF(受講者登録表!I31="●",1,"")</f>
        <v/>
      </c>
      <c r="H34" s="163" t="str">
        <f>IF(受講者登録表!J31="●",1,"")</f>
        <v/>
      </c>
      <c r="I34" s="163" t="str">
        <f>IF(受講者登録表!K31="●",1,"")</f>
        <v/>
      </c>
      <c r="J34" s="163" t="str">
        <f>IF(受講者登録表!L31="●",1,"")</f>
        <v/>
      </c>
      <c r="K34" s="163" t="str">
        <f>IF(受講者登録表!M31="●",1,"")</f>
        <v/>
      </c>
      <c r="L34" s="163" t="str">
        <f>IF(受講者登録表!N31="●",1,"")</f>
        <v/>
      </c>
      <c r="M34" s="163" t="str">
        <f>IF(受講者登録表!O31="●",1,"")</f>
        <v/>
      </c>
      <c r="N34" s="163" t="str">
        <f>IF(受講者登録表!P31="●",1,"")</f>
        <v/>
      </c>
      <c r="O34" s="163" t="str">
        <f>IF(受講者登録表!Q31="●",1,"")</f>
        <v/>
      </c>
      <c r="P34">
        <f>受講者登録表!Z31</f>
        <v>0</v>
      </c>
    </row>
    <row r="35" spans="1:16" ht="14">
      <c r="A35" t="str">
        <f>IF(受講者登録表!C32&lt;&gt;"",受講者登録表!B32,"")</f>
        <v/>
      </c>
      <c r="B35" s="162" t="str">
        <f>IF(受講者登録表!C32&lt;&gt;"",受講者登録表!C32,"")</f>
        <v/>
      </c>
      <c r="C35" s="162" t="str">
        <f>IF(B35&lt;&gt;"",受講者登録表!D32,"")</f>
        <v/>
      </c>
      <c r="D35" s="163" t="str">
        <f>IF(受講者登録表!F32="●",1,"")</f>
        <v/>
      </c>
      <c r="E35" s="163" t="str">
        <f>IF(受講者登録表!G32="●",1,"")</f>
        <v/>
      </c>
      <c r="F35" s="163" t="str">
        <f>IF(受講者登録表!H32="●",1,"")</f>
        <v/>
      </c>
      <c r="G35" s="163" t="str">
        <f>IF(受講者登録表!I32="●",1,"")</f>
        <v/>
      </c>
      <c r="H35" s="163" t="str">
        <f>IF(受講者登録表!J32="●",1,"")</f>
        <v/>
      </c>
      <c r="I35" s="163" t="str">
        <f>IF(受講者登録表!K32="●",1,"")</f>
        <v/>
      </c>
      <c r="J35" s="163" t="str">
        <f>IF(受講者登録表!L32="●",1,"")</f>
        <v/>
      </c>
      <c r="K35" s="163" t="str">
        <f>IF(受講者登録表!M32="●",1,"")</f>
        <v/>
      </c>
      <c r="L35" s="163" t="str">
        <f>IF(受講者登録表!N32="●",1,"")</f>
        <v/>
      </c>
      <c r="M35" s="163" t="str">
        <f>IF(受講者登録表!O32="●",1,"")</f>
        <v/>
      </c>
      <c r="N35" s="163" t="str">
        <f>IF(受講者登録表!P32="●",1,"")</f>
        <v/>
      </c>
      <c r="O35" s="163" t="str">
        <f>IF(受講者登録表!Q32="●",1,"")</f>
        <v/>
      </c>
      <c r="P35">
        <f>受講者登録表!Z32</f>
        <v>0</v>
      </c>
    </row>
    <row r="36" spans="1:16" ht="14">
      <c r="A36" t="str">
        <f>IF(受講者登録表!C33&lt;&gt;"",受講者登録表!B33,"")</f>
        <v/>
      </c>
      <c r="B36" s="162" t="str">
        <f>IF(受講者登録表!C33&lt;&gt;"",受講者登録表!C33,"")</f>
        <v/>
      </c>
      <c r="C36" s="162" t="str">
        <f>IF(B36&lt;&gt;"",受講者登録表!D33,"")</f>
        <v/>
      </c>
      <c r="D36" s="163" t="str">
        <f>IF(受講者登録表!F33="●",1,"")</f>
        <v/>
      </c>
      <c r="E36" s="163" t="str">
        <f>IF(受講者登録表!G33="●",1,"")</f>
        <v/>
      </c>
      <c r="F36" s="163" t="str">
        <f>IF(受講者登録表!H33="●",1,"")</f>
        <v/>
      </c>
      <c r="G36" s="163" t="str">
        <f>IF(受講者登録表!I33="●",1,"")</f>
        <v/>
      </c>
      <c r="H36" s="163" t="str">
        <f>IF(受講者登録表!J33="●",1,"")</f>
        <v/>
      </c>
      <c r="I36" s="163" t="str">
        <f>IF(受講者登録表!K33="●",1,"")</f>
        <v/>
      </c>
      <c r="J36" s="163" t="str">
        <f>IF(受講者登録表!L33="●",1,"")</f>
        <v/>
      </c>
      <c r="K36" s="163" t="str">
        <f>IF(受講者登録表!M33="●",1,"")</f>
        <v/>
      </c>
      <c r="L36" s="163" t="str">
        <f>IF(受講者登録表!N33="●",1,"")</f>
        <v/>
      </c>
      <c r="M36" s="163" t="str">
        <f>IF(受講者登録表!O33="●",1,"")</f>
        <v/>
      </c>
      <c r="N36" s="163" t="str">
        <f>IF(受講者登録表!P33="●",1,"")</f>
        <v/>
      </c>
      <c r="O36" s="163" t="str">
        <f>IF(受講者登録表!Q33="●",1,"")</f>
        <v/>
      </c>
      <c r="P36">
        <f>受講者登録表!Z33</f>
        <v>0</v>
      </c>
    </row>
    <row r="37" spans="1:16" ht="14">
      <c r="A37" t="str">
        <f>IF(受講者登録表!C34&lt;&gt;"",受講者登録表!B34,"")</f>
        <v/>
      </c>
      <c r="B37" s="162" t="str">
        <f>IF(受講者登録表!C34&lt;&gt;"",受講者登録表!C34,"")</f>
        <v/>
      </c>
      <c r="C37" s="162" t="str">
        <f>IF(B37&lt;&gt;"",受講者登録表!D34,"")</f>
        <v/>
      </c>
      <c r="D37" s="163" t="str">
        <f>IF(受講者登録表!F34="●",1,"")</f>
        <v/>
      </c>
      <c r="E37" s="163" t="str">
        <f>IF(受講者登録表!G34="●",1,"")</f>
        <v/>
      </c>
      <c r="F37" s="163" t="str">
        <f>IF(受講者登録表!H34="●",1,"")</f>
        <v/>
      </c>
      <c r="G37" s="163" t="str">
        <f>IF(受講者登録表!I34="●",1,"")</f>
        <v/>
      </c>
      <c r="H37" s="163" t="str">
        <f>IF(受講者登録表!J34="●",1,"")</f>
        <v/>
      </c>
      <c r="I37" s="163" t="str">
        <f>IF(受講者登録表!K34="●",1,"")</f>
        <v/>
      </c>
      <c r="J37" s="163" t="str">
        <f>IF(受講者登録表!L34="●",1,"")</f>
        <v/>
      </c>
      <c r="K37" s="163" t="str">
        <f>IF(受講者登録表!M34="●",1,"")</f>
        <v/>
      </c>
      <c r="L37" s="163" t="str">
        <f>IF(受講者登録表!N34="●",1,"")</f>
        <v/>
      </c>
      <c r="M37" s="163" t="str">
        <f>IF(受講者登録表!O34="●",1,"")</f>
        <v/>
      </c>
      <c r="N37" s="163" t="str">
        <f>IF(受講者登録表!P34="●",1,"")</f>
        <v/>
      </c>
      <c r="O37" s="163" t="str">
        <f>IF(受講者登録表!Q34="●",1,"")</f>
        <v/>
      </c>
      <c r="P37">
        <f>受講者登録表!Z34</f>
        <v>0</v>
      </c>
    </row>
    <row r="38" spans="1:16" ht="14">
      <c r="A38" t="str">
        <f>IF(受講者登録表!C35&lt;&gt;"",受講者登録表!B35,"")</f>
        <v/>
      </c>
      <c r="B38" s="162" t="str">
        <f>IF(受講者登録表!C35&lt;&gt;"",受講者登録表!C35,"")</f>
        <v/>
      </c>
      <c r="C38" s="162" t="str">
        <f>IF(B38&lt;&gt;"",受講者登録表!D35,"")</f>
        <v/>
      </c>
      <c r="D38" s="163" t="str">
        <f>IF(受講者登録表!F35="●",1,"")</f>
        <v/>
      </c>
      <c r="E38" s="163" t="str">
        <f>IF(受講者登録表!G35="●",1,"")</f>
        <v/>
      </c>
      <c r="F38" s="163" t="str">
        <f>IF(受講者登録表!H35="●",1,"")</f>
        <v/>
      </c>
      <c r="G38" s="163" t="str">
        <f>IF(受講者登録表!I35="●",1,"")</f>
        <v/>
      </c>
      <c r="H38" s="163" t="str">
        <f>IF(受講者登録表!J35="●",1,"")</f>
        <v/>
      </c>
      <c r="I38" s="163" t="str">
        <f>IF(受講者登録表!K35="●",1,"")</f>
        <v/>
      </c>
      <c r="J38" s="163" t="str">
        <f>IF(受講者登録表!L35="●",1,"")</f>
        <v/>
      </c>
      <c r="K38" s="163" t="str">
        <f>IF(受講者登録表!M35="●",1,"")</f>
        <v/>
      </c>
      <c r="L38" s="163" t="str">
        <f>IF(受講者登録表!N35="●",1,"")</f>
        <v/>
      </c>
      <c r="M38" s="163" t="str">
        <f>IF(受講者登録表!O35="●",1,"")</f>
        <v/>
      </c>
      <c r="N38" s="163" t="str">
        <f>IF(受講者登録表!P35="●",1,"")</f>
        <v/>
      </c>
      <c r="O38" s="163" t="str">
        <f>IF(受講者登録表!Q35="●",1,"")</f>
        <v/>
      </c>
      <c r="P38">
        <f>受講者登録表!Z35</f>
        <v>0</v>
      </c>
    </row>
    <row r="39" spans="1:16" ht="14">
      <c r="A39" t="str">
        <f>IF(受講者登録表!C36&lt;&gt;"",受講者登録表!B36,"")</f>
        <v/>
      </c>
      <c r="B39" s="162" t="str">
        <f>IF(受講者登録表!C36&lt;&gt;"",受講者登録表!C36,"")</f>
        <v/>
      </c>
      <c r="C39" s="162" t="str">
        <f>IF(B39&lt;&gt;"",受講者登録表!D36,"")</f>
        <v/>
      </c>
      <c r="D39" s="163" t="str">
        <f>IF(受講者登録表!F36="●",1,"")</f>
        <v/>
      </c>
      <c r="E39" s="163" t="str">
        <f>IF(受講者登録表!G36="●",1,"")</f>
        <v/>
      </c>
      <c r="F39" s="163" t="str">
        <f>IF(受講者登録表!H36="●",1,"")</f>
        <v/>
      </c>
      <c r="G39" s="163" t="str">
        <f>IF(受講者登録表!I36="●",1,"")</f>
        <v/>
      </c>
      <c r="H39" s="163" t="str">
        <f>IF(受講者登録表!J36="●",1,"")</f>
        <v/>
      </c>
      <c r="I39" s="163" t="str">
        <f>IF(受講者登録表!K36="●",1,"")</f>
        <v/>
      </c>
      <c r="J39" s="163" t="str">
        <f>IF(受講者登録表!L36="●",1,"")</f>
        <v/>
      </c>
      <c r="K39" s="163" t="str">
        <f>IF(受講者登録表!M36="●",1,"")</f>
        <v/>
      </c>
      <c r="L39" s="163" t="str">
        <f>IF(受講者登録表!N36="●",1,"")</f>
        <v/>
      </c>
      <c r="M39" s="163" t="str">
        <f>IF(受講者登録表!O36="●",1,"")</f>
        <v/>
      </c>
      <c r="N39" s="163" t="str">
        <f>IF(受講者登録表!P36="●",1,"")</f>
        <v/>
      </c>
      <c r="O39" s="163" t="str">
        <f>IF(受講者登録表!Q36="●",1,"")</f>
        <v/>
      </c>
      <c r="P39">
        <f>受講者登録表!Z36</f>
        <v>0</v>
      </c>
    </row>
    <row r="40" spans="1:16" ht="14">
      <c r="A40" t="str">
        <f>IF(受講者登録表!C37&lt;&gt;"",受講者登録表!B37,"")</f>
        <v/>
      </c>
      <c r="B40" s="162" t="str">
        <f>IF(受講者登録表!C37&lt;&gt;"",受講者登録表!C37,"")</f>
        <v/>
      </c>
      <c r="C40" s="162" t="str">
        <f>IF(B40&lt;&gt;"",受講者登録表!D37,"")</f>
        <v/>
      </c>
      <c r="D40" s="163" t="str">
        <f>IF(受講者登録表!F37="●",1,"")</f>
        <v/>
      </c>
      <c r="E40" s="163" t="str">
        <f>IF(受講者登録表!G37="●",1,"")</f>
        <v/>
      </c>
      <c r="F40" s="163" t="str">
        <f>IF(受講者登録表!H37="●",1,"")</f>
        <v/>
      </c>
      <c r="G40" s="163" t="str">
        <f>IF(受講者登録表!I37="●",1,"")</f>
        <v/>
      </c>
      <c r="H40" s="163" t="str">
        <f>IF(受講者登録表!J37="●",1,"")</f>
        <v/>
      </c>
      <c r="I40" s="163" t="str">
        <f>IF(受講者登録表!K37="●",1,"")</f>
        <v/>
      </c>
      <c r="J40" s="163" t="str">
        <f>IF(受講者登録表!L37="●",1,"")</f>
        <v/>
      </c>
      <c r="K40" s="163" t="str">
        <f>IF(受講者登録表!M37="●",1,"")</f>
        <v/>
      </c>
      <c r="L40" s="163" t="str">
        <f>IF(受講者登録表!N37="●",1,"")</f>
        <v/>
      </c>
      <c r="M40" s="163" t="str">
        <f>IF(受講者登録表!O37="●",1,"")</f>
        <v/>
      </c>
      <c r="N40" s="163" t="str">
        <f>IF(受講者登録表!P37="●",1,"")</f>
        <v/>
      </c>
      <c r="O40" s="163" t="str">
        <f>IF(受講者登録表!Q37="●",1,"")</f>
        <v/>
      </c>
      <c r="P40">
        <f>受講者登録表!Z37</f>
        <v>0</v>
      </c>
    </row>
    <row r="41" spans="1:16" ht="14">
      <c r="A41" t="str">
        <f>IF(受講者登録表!C38&lt;&gt;"",受講者登録表!B38,"")</f>
        <v/>
      </c>
      <c r="B41" s="162" t="str">
        <f>IF(受講者登録表!C38&lt;&gt;"",受講者登録表!C38,"")</f>
        <v/>
      </c>
      <c r="C41" s="162" t="str">
        <f>IF(B41&lt;&gt;"",受講者登録表!D38,"")</f>
        <v/>
      </c>
      <c r="D41" s="163" t="str">
        <f>IF(受講者登録表!F38="●",1,"")</f>
        <v/>
      </c>
      <c r="E41" s="163" t="str">
        <f>IF(受講者登録表!G38="●",1,"")</f>
        <v/>
      </c>
      <c r="F41" s="163" t="str">
        <f>IF(受講者登録表!H38="●",1,"")</f>
        <v/>
      </c>
      <c r="G41" s="163" t="str">
        <f>IF(受講者登録表!I38="●",1,"")</f>
        <v/>
      </c>
      <c r="H41" s="163" t="str">
        <f>IF(受講者登録表!J38="●",1,"")</f>
        <v/>
      </c>
      <c r="I41" s="163" t="str">
        <f>IF(受講者登録表!K38="●",1,"")</f>
        <v/>
      </c>
      <c r="J41" s="163" t="str">
        <f>IF(受講者登録表!L38="●",1,"")</f>
        <v/>
      </c>
      <c r="K41" s="163" t="str">
        <f>IF(受講者登録表!M38="●",1,"")</f>
        <v/>
      </c>
      <c r="L41" s="163" t="str">
        <f>IF(受講者登録表!N38="●",1,"")</f>
        <v/>
      </c>
      <c r="M41" s="163" t="str">
        <f>IF(受講者登録表!O38="●",1,"")</f>
        <v/>
      </c>
      <c r="N41" s="163" t="str">
        <f>IF(受講者登録表!P38="●",1,"")</f>
        <v/>
      </c>
      <c r="O41" s="163" t="str">
        <f>IF(受講者登録表!Q38="●",1,"")</f>
        <v/>
      </c>
      <c r="P41">
        <f>受講者登録表!Z38</f>
        <v>0</v>
      </c>
    </row>
    <row r="42" spans="1:16" ht="14">
      <c r="A42" t="str">
        <f>IF(受講者登録表!C39&lt;&gt;"",受講者登録表!B39,"")</f>
        <v/>
      </c>
      <c r="B42" s="162" t="str">
        <f>IF(受講者登録表!C39&lt;&gt;"",受講者登録表!C39,"")</f>
        <v/>
      </c>
      <c r="C42" s="162" t="str">
        <f>IF(B42&lt;&gt;"",受講者登録表!D39,"")</f>
        <v/>
      </c>
      <c r="D42" s="163" t="str">
        <f>IF(受講者登録表!F39="●",1,"")</f>
        <v/>
      </c>
      <c r="E42" s="163" t="str">
        <f>IF(受講者登録表!G39="●",1,"")</f>
        <v/>
      </c>
      <c r="F42" s="163" t="str">
        <f>IF(受講者登録表!H39="●",1,"")</f>
        <v/>
      </c>
      <c r="G42" s="163" t="str">
        <f>IF(受講者登録表!I39="●",1,"")</f>
        <v/>
      </c>
      <c r="H42" s="163" t="str">
        <f>IF(受講者登録表!J39="●",1,"")</f>
        <v/>
      </c>
      <c r="I42" s="163" t="str">
        <f>IF(受講者登録表!K39="●",1,"")</f>
        <v/>
      </c>
      <c r="J42" s="163" t="str">
        <f>IF(受講者登録表!L39="●",1,"")</f>
        <v/>
      </c>
      <c r="K42" s="163" t="str">
        <f>IF(受講者登録表!M39="●",1,"")</f>
        <v/>
      </c>
      <c r="L42" s="163" t="str">
        <f>IF(受講者登録表!N39="●",1,"")</f>
        <v/>
      </c>
      <c r="M42" s="163" t="str">
        <f>IF(受講者登録表!O39="●",1,"")</f>
        <v/>
      </c>
      <c r="N42" s="163" t="str">
        <f>IF(受講者登録表!P39="●",1,"")</f>
        <v/>
      </c>
      <c r="O42" s="163" t="str">
        <f>IF(受講者登録表!Q39="●",1,"")</f>
        <v/>
      </c>
      <c r="P42">
        <f>受講者登録表!Z39</f>
        <v>0</v>
      </c>
    </row>
    <row r="43" spans="1:16" ht="14">
      <c r="A43" t="str">
        <f>IF(受講者登録表!C40&lt;&gt;"",受講者登録表!B40,"")</f>
        <v/>
      </c>
      <c r="B43" s="162" t="str">
        <f>IF(受講者登録表!C40&lt;&gt;"",受講者登録表!C40,"")</f>
        <v/>
      </c>
      <c r="C43" s="162" t="str">
        <f>IF(B43&lt;&gt;"",受講者登録表!D40,"")</f>
        <v/>
      </c>
      <c r="D43" s="163" t="str">
        <f>IF(受講者登録表!F40="●",1,"")</f>
        <v/>
      </c>
      <c r="E43" s="163" t="str">
        <f>IF(受講者登録表!G40="●",1,"")</f>
        <v/>
      </c>
      <c r="F43" s="163" t="str">
        <f>IF(受講者登録表!H40="●",1,"")</f>
        <v/>
      </c>
      <c r="G43" s="163" t="str">
        <f>IF(受講者登録表!I40="●",1,"")</f>
        <v/>
      </c>
      <c r="H43" s="163" t="str">
        <f>IF(受講者登録表!J40="●",1,"")</f>
        <v/>
      </c>
      <c r="I43" s="163" t="str">
        <f>IF(受講者登録表!K40="●",1,"")</f>
        <v/>
      </c>
      <c r="J43" s="163" t="str">
        <f>IF(受講者登録表!L40="●",1,"")</f>
        <v/>
      </c>
      <c r="K43" s="163" t="str">
        <f>IF(受講者登録表!M40="●",1,"")</f>
        <v/>
      </c>
      <c r="L43" s="163" t="str">
        <f>IF(受講者登録表!N40="●",1,"")</f>
        <v/>
      </c>
      <c r="M43" s="163" t="str">
        <f>IF(受講者登録表!O40="●",1,"")</f>
        <v/>
      </c>
      <c r="N43" s="163" t="str">
        <f>IF(受講者登録表!P40="●",1,"")</f>
        <v/>
      </c>
      <c r="O43" s="163" t="str">
        <f>IF(受講者登録表!Q40="●",1,"")</f>
        <v/>
      </c>
      <c r="P43">
        <f>受講者登録表!Z40</f>
        <v>0</v>
      </c>
    </row>
    <row r="44" spans="1:16" ht="14">
      <c r="A44" t="str">
        <f>IF(受講者登録表!C41&lt;&gt;"",受講者登録表!B41,"")</f>
        <v/>
      </c>
      <c r="B44" s="162" t="str">
        <f>IF(受講者登録表!C41&lt;&gt;"",受講者登録表!C41,"")</f>
        <v/>
      </c>
      <c r="C44" s="162" t="str">
        <f>IF(B44&lt;&gt;"",受講者登録表!D41,"")</f>
        <v/>
      </c>
      <c r="D44" s="163" t="str">
        <f>IF(受講者登録表!F41="●",1,"")</f>
        <v/>
      </c>
      <c r="E44" s="163" t="str">
        <f>IF(受講者登録表!G41="●",1,"")</f>
        <v/>
      </c>
      <c r="F44" s="163" t="str">
        <f>IF(受講者登録表!H41="●",1,"")</f>
        <v/>
      </c>
      <c r="G44" s="163" t="str">
        <f>IF(受講者登録表!I41="●",1,"")</f>
        <v/>
      </c>
      <c r="H44" s="163" t="str">
        <f>IF(受講者登録表!J41="●",1,"")</f>
        <v/>
      </c>
      <c r="I44" s="163" t="str">
        <f>IF(受講者登録表!K41="●",1,"")</f>
        <v/>
      </c>
      <c r="J44" s="163" t="str">
        <f>IF(受講者登録表!L41="●",1,"")</f>
        <v/>
      </c>
      <c r="K44" s="163" t="str">
        <f>IF(受講者登録表!M41="●",1,"")</f>
        <v/>
      </c>
      <c r="L44" s="163" t="str">
        <f>IF(受講者登録表!N41="●",1,"")</f>
        <v/>
      </c>
      <c r="M44" s="163" t="str">
        <f>IF(受講者登録表!O41="●",1,"")</f>
        <v/>
      </c>
      <c r="N44" s="163" t="str">
        <f>IF(受講者登録表!P41="●",1,"")</f>
        <v/>
      </c>
      <c r="O44" s="163" t="str">
        <f>IF(受講者登録表!Q41="●",1,"")</f>
        <v/>
      </c>
      <c r="P44">
        <f>受講者登録表!Z41</f>
        <v>0</v>
      </c>
    </row>
    <row r="45" spans="1:16" ht="14">
      <c r="A45" t="str">
        <f>IF(受講者登録表!C42&lt;&gt;"",受講者登録表!B42,"")</f>
        <v/>
      </c>
      <c r="B45" s="162" t="str">
        <f>IF(受講者登録表!C42&lt;&gt;"",受講者登録表!C42,"")</f>
        <v/>
      </c>
      <c r="C45" s="162" t="str">
        <f>IF(B45&lt;&gt;"",受講者登録表!D42,"")</f>
        <v/>
      </c>
      <c r="D45" s="163" t="str">
        <f>IF(受講者登録表!F42="●",1,"")</f>
        <v/>
      </c>
      <c r="E45" s="163" t="str">
        <f>IF(受講者登録表!G42="●",1,"")</f>
        <v/>
      </c>
      <c r="F45" s="163" t="str">
        <f>IF(受講者登録表!H42="●",1,"")</f>
        <v/>
      </c>
      <c r="G45" s="163" t="str">
        <f>IF(受講者登録表!I42="●",1,"")</f>
        <v/>
      </c>
      <c r="H45" s="163" t="str">
        <f>IF(受講者登録表!J42="●",1,"")</f>
        <v/>
      </c>
      <c r="I45" s="163" t="str">
        <f>IF(受講者登録表!K42="●",1,"")</f>
        <v/>
      </c>
      <c r="J45" s="163" t="str">
        <f>IF(受講者登録表!L42="●",1,"")</f>
        <v/>
      </c>
      <c r="K45" s="163" t="str">
        <f>IF(受講者登録表!M42="●",1,"")</f>
        <v/>
      </c>
      <c r="L45" s="163" t="str">
        <f>IF(受講者登録表!N42="●",1,"")</f>
        <v/>
      </c>
      <c r="M45" s="163" t="str">
        <f>IF(受講者登録表!O42="●",1,"")</f>
        <v/>
      </c>
      <c r="N45" s="163" t="str">
        <f>IF(受講者登録表!P42="●",1,"")</f>
        <v/>
      </c>
      <c r="O45" s="163" t="str">
        <f>IF(受講者登録表!Q42="●",1,"")</f>
        <v/>
      </c>
      <c r="P45">
        <f>受講者登録表!Z42</f>
        <v>0</v>
      </c>
    </row>
    <row r="46" spans="1:16" ht="14">
      <c r="A46" t="str">
        <f>IF(受講者登録表!C43&lt;&gt;"",受講者登録表!B43,"")</f>
        <v/>
      </c>
      <c r="B46" s="162" t="str">
        <f>IF(受講者登録表!C43&lt;&gt;"",受講者登録表!C43,"")</f>
        <v/>
      </c>
      <c r="C46" s="162" t="str">
        <f>IF(B46&lt;&gt;"",受講者登録表!D43,"")</f>
        <v/>
      </c>
      <c r="D46" s="163" t="str">
        <f>IF(受講者登録表!F43="●",1,"")</f>
        <v/>
      </c>
      <c r="E46" s="163" t="str">
        <f>IF(受講者登録表!G43="●",1,"")</f>
        <v/>
      </c>
      <c r="F46" s="163" t="str">
        <f>IF(受講者登録表!H43="●",1,"")</f>
        <v/>
      </c>
      <c r="G46" s="163" t="str">
        <f>IF(受講者登録表!I43="●",1,"")</f>
        <v/>
      </c>
      <c r="H46" s="163" t="str">
        <f>IF(受講者登録表!J43="●",1,"")</f>
        <v/>
      </c>
      <c r="I46" s="163" t="str">
        <f>IF(受講者登録表!K43="●",1,"")</f>
        <v/>
      </c>
      <c r="J46" s="163" t="str">
        <f>IF(受講者登録表!L43="●",1,"")</f>
        <v/>
      </c>
      <c r="K46" s="163" t="str">
        <f>IF(受講者登録表!M43="●",1,"")</f>
        <v/>
      </c>
      <c r="L46" s="163" t="str">
        <f>IF(受講者登録表!N43="●",1,"")</f>
        <v/>
      </c>
      <c r="M46" s="163" t="str">
        <f>IF(受講者登録表!O43="●",1,"")</f>
        <v/>
      </c>
      <c r="N46" s="163" t="str">
        <f>IF(受講者登録表!P43="●",1,"")</f>
        <v/>
      </c>
      <c r="O46" s="163" t="str">
        <f>IF(受講者登録表!Q43="●",1,"")</f>
        <v/>
      </c>
      <c r="P46">
        <f>受講者登録表!Z43</f>
        <v>0</v>
      </c>
    </row>
    <row r="47" spans="1:16" ht="14">
      <c r="A47" t="str">
        <f>IF(受講者登録表!C44&lt;&gt;"",受講者登録表!B44,"")</f>
        <v/>
      </c>
      <c r="B47" s="162" t="str">
        <f>IF(受講者登録表!C44&lt;&gt;"",受講者登録表!C44,"")</f>
        <v/>
      </c>
      <c r="C47" s="162" t="str">
        <f>IF(B47&lt;&gt;"",受講者登録表!D44,"")</f>
        <v/>
      </c>
      <c r="D47" s="163" t="str">
        <f>IF(受講者登録表!F44="●",1,"")</f>
        <v/>
      </c>
      <c r="E47" s="163" t="str">
        <f>IF(受講者登録表!G44="●",1,"")</f>
        <v/>
      </c>
      <c r="F47" s="163" t="str">
        <f>IF(受講者登録表!H44="●",1,"")</f>
        <v/>
      </c>
      <c r="G47" s="163" t="str">
        <f>IF(受講者登録表!I44="●",1,"")</f>
        <v/>
      </c>
      <c r="H47" s="163" t="str">
        <f>IF(受講者登録表!J44="●",1,"")</f>
        <v/>
      </c>
      <c r="I47" s="163" t="str">
        <f>IF(受講者登録表!K44="●",1,"")</f>
        <v/>
      </c>
      <c r="J47" s="163" t="str">
        <f>IF(受講者登録表!L44="●",1,"")</f>
        <v/>
      </c>
      <c r="K47" s="163" t="str">
        <f>IF(受講者登録表!M44="●",1,"")</f>
        <v/>
      </c>
      <c r="L47" s="163" t="str">
        <f>IF(受講者登録表!N44="●",1,"")</f>
        <v/>
      </c>
      <c r="M47" s="163" t="str">
        <f>IF(受講者登録表!O44="●",1,"")</f>
        <v/>
      </c>
      <c r="N47" s="163" t="str">
        <f>IF(受講者登録表!P44="●",1,"")</f>
        <v/>
      </c>
      <c r="O47" s="163" t="str">
        <f>IF(受講者登録表!Q44="●",1,"")</f>
        <v/>
      </c>
      <c r="P47">
        <f>受講者登録表!Z44</f>
        <v>0</v>
      </c>
    </row>
  </sheetData>
  <mergeCells count="21">
    <mergeCell ref="B8:C8"/>
    <mergeCell ref="E8:I8"/>
    <mergeCell ref="B9:C9"/>
    <mergeCell ref="E9:I9"/>
    <mergeCell ref="C2:D2"/>
    <mergeCell ref="B4:E4"/>
    <mergeCell ref="G4:I4"/>
    <mergeCell ref="B5:E5"/>
    <mergeCell ref="G5:I5"/>
    <mergeCell ref="B6:C6"/>
    <mergeCell ref="D6:D7"/>
    <mergeCell ref="E6:E7"/>
    <mergeCell ref="G6:I6"/>
    <mergeCell ref="B7:C7"/>
    <mergeCell ref="G7:I7"/>
    <mergeCell ref="B1:C1"/>
    <mergeCell ref="E1:I1"/>
    <mergeCell ref="A2:A3"/>
    <mergeCell ref="F2:F3"/>
    <mergeCell ref="G2:I3"/>
    <mergeCell ref="B3:E3"/>
  </mergeCells>
  <phoneticPr fontId="6"/>
  <conditionalFormatting sqref="A13">
    <cfRule type="cellIs" dxfId="33" priority="15" operator="equal">
      <formula>0</formula>
    </cfRule>
  </conditionalFormatting>
  <conditionalFormatting sqref="A18:O47">
    <cfRule type="expression" dxfId="32" priority="20">
      <formula>$B18&lt;&gt;0</formula>
    </cfRule>
  </conditionalFormatting>
  <conditionalFormatting sqref="D15:O16">
    <cfRule type="containsBlanks" dxfId="31" priority="17">
      <formula>LEN(TRIM(D15))=0</formula>
    </cfRule>
  </conditionalFormatting>
  <conditionalFormatting sqref="K13:O13">
    <cfRule type="cellIs" dxfId="30" priority="19" operator="equal">
      <formula>0</formula>
    </cfRule>
  </conditionalFormatting>
  <conditionalFormatting sqref="P8">
    <cfRule type="timePeriod" dxfId="29" priority="8" timePeriod="lastMonth">
      <formula>AND(MONTH(P8)=MONTH(EDATE(TODAY(),0-1)),YEAR(P8)=YEAR(EDATE(TODAY(),0-1)))</formula>
    </cfRule>
    <cfRule type="cellIs" dxfId="28" priority="9" operator="equal">
      <formula>"未入金"</formula>
    </cfRule>
    <cfRule type="timePeriod" dxfId="27" priority="10" timePeriod="thisMonth">
      <formula>AND(MONTH(P8)=MONTH(TODAY()),YEAR(P8)=YEAR(TODAY()))</formula>
    </cfRule>
    <cfRule type="expression" dxfId="26" priority="11">
      <formula>MONTH(P8)=MONTH(TODAY())</formula>
    </cfRule>
    <cfRule type="expression" dxfId="25" priority="12">
      <formula>AND(B8="PP",P8="")</formula>
    </cfRule>
    <cfRule type="expression" dxfId="24" priority="13">
      <formula>AND(B8="PP",P8="")</formula>
    </cfRule>
    <cfRule type="expression" dxfId="23" priority="14">
      <formula>AND(B8="P",P8="")</formula>
    </cfRule>
  </conditionalFormatting>
  <conditionalFormatting sqref="P18:P47">
    <cfRule type="cellIs" dxfId="22" priority="18" operator="greaterThan">
      <formula>0</formula>
    </cfRule>
  </conditionalFormatting>
  <conditionalFormatting sqref="Q13">
    <cfRule type="timePeriod" dxfId="21" priority="1" timePeriod="lastMonth">
      <formula>AND(MONTH(Q13)=MONTH(EDATE(TODAY(),0-1)),YEAR(Q13)=YEAR(EDATE(TODAY(),0-1)))</formula>
    </cfRule>
    <cfRule type="cellIs" dxfId="20" priority="2" operator="equal">
      <formula>"未入金"</formula>
    </cfRule>
    <cfRule type="timePeriod" dxfId="19" priority="3" timePeriod="thisMonth">
      <formula>AND(MONTH(Q13)=MONTH(TODAY()),YEAR(Q13)=YEAR(TODAY()))</formula>
    </cfRule>
    <cfRule type="expression" dxfId="18" priority="4">
      <formula>MONTH(Q13)=MONTH(TODAY())</formula>
    </cfRule>
    <cfRule type="expression" dxfId="17" priority="5">
      <formula>AND(C13="PP",Q13="")</formula>
    </cfRule>
    <cfRule type="expression" dxfId="16" priority="6">
      <formula>AND(C13="PP",Q13="")</formula>
    </cfRule>
    <cfRule type="expression" dxfId="15" priority="7">
      <formula>AND(C13="P",Q13="")</formula>
    </cfRule>
  </conditionalFormatting>
  <conditionalFormatting sqref="U12">
    <cfRule type="containsText" dxfId="14" priority="16" operator="containsText" text="調整">
      <formula>NOT(ISERROR(SEARCH("調整",U12)))</formula>
    </cfRule>
  </conditionalFormatting>
  <dataValidations count="2">
    <dataValidation imeMode="off" allowBlank="1" showInputMessage="1" showErrorMessage="1" sqref="A1:D1048576 E1:J14 E15:O1048576 P48:P1048576 U12 K13:O13 X12:XFD13 P12:P13 Q13:V13 K1:XFD11 K14:XFD14 Q15:XFD1048576" xr:uid="{00000000-0002-0000-0600-000000000000}"/>
    <dataValidation imeMode="on" allowBlank="1" showInputMessage="1" showErrorMessage="1" sqref="K12:O12 Q12:S12" xr:uid="{00000000-0002-0000-0600-000001000000}"/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X363"/>
  <sheetViews>
    <sheetView zoomScale="90" zoomScaleNormal="90" workbookViewId="0">
      <pane xSplit="2" ySplit="1" topLeftCell="C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ColWidth="20.453125" defaultRowHeight="19"/>
  <cols>
    <col min="1" max="1" width="5.90625" style="211" customWidth="1"/>
    <col min="2" max="2" width="4.7265625" style="220" customWidth="1"/>
    <col min="3" max="3" width="13" style="208" customWidth="1"/>
    <col min="4" max="4" width="11.08984375" style="208" customWidth="1"/>
    <col min="5" max="5" width="14.90625" style="211" customWidth="1"/>
    <col min="6" max="6" width="13.7265625" style="211" customWidth="1"/>
    <col min="7" max="7" width="8.08984375" style="211" hidden="1" customWidth="1"/>
    <col min="8" max="8" width="7.90625" style="240" customWidth="1"/>
    <col min="9" max="10" width="5.90625" style="210" customWidth="1"/>
    <col min="11" max="11" width="5.90625" style="211" customWidth="1"/>
    <col min="12" max="12" width="13.90625" style="209" customWidth="1"/>
    <col min="13" max="24" width="7.453125" style="209" customWidth="1"/>
    <col min="25" max="25" width="4.90625" style="210" customWidth="1"/>
    <col min="26" max="16384" width="20.453125" style="210"/>
  </cols>
  <sheetData>
    <row r="1" spans="1:24" ht="21" customHeight="1">
      <c r="A1" s="202" t="s">
        <v>253</v>
      </c>
      <c r="B1" s="203" t="s">
        <v>214</v>
      </c>
      <c r="C1" s="204" t="s">
        <v>190</v>
      </c>
      <c r="D1" s="205" t="s">
        <v>191</v>
      </c>
      <c r="E1" s="206" t="s">
        <v>192</v>
      </c>
      <c r="F1" s="206" t="s">
        <v>193</v>
      </c>
      <c r="G1" s="207" t="s">
        <v>254</v>
      </c>
      <c r="H1" s="241" t="str">
        <f ca="1">IF(SUM(H2:H360)&gt;0,"error","")</f>
        <v/>
      </c>
      <c r="I1" s="242" t="s">
        <v>271</v>
      </c>
      <c r="J1" s="208"/>
      <c r="K1" s="239" t="s">
        <v>212</v>
      </c>
      <c r="L1" s="140" t="s">
        <v>175</v>
      </c>
      <c r="M1" s="140" t="s">
        <v>41</v>
      </c>
      <c r="N1" s="198" t="s">
        <v>39</v>
      </c>
      <c r="O1" s="229" t="s">
        <v>268</v>
      </c>
      <c r="P1" s="230" t="s">
        <v>267</v>
      </c>
      <c r="Q1" s="231" t="s">
        <v>269</v>
      </c>
      <c r="R1" s="232" t="s">
        <v>270</v>
      </c>
      <c r="S1" s="209" t="s">
        <v>365</v>
      </c>
      <c r="T1" s="209" t="s">
        <v>366</v>
      </c>
      <c r="U1" s="209" t="s">
        <v>367</v>
      </c>
    </row>
    <row r="2" spans="1:24" ht="21" customHeight="1">
      <c r="A2" s="211">
        <f>IF(C2&lt;&gt;C1,1,A1+1)</f>
        <v>1</v>
      </c>
      <c r="B2" s="212">
        <v>1</v>
      </c>
      <c r="C2" s="213" t="str">
        <f t="shared" ref="C2:C65" si="0">IF($B2&lt;=$N$14,VLOOKUP($B2,申込,2,TRUE),"")</f>
        <v/>
      </c>
      <c r="D2" s="134" t="str">
        <f t="shared" ref="D2:D65" ca="1" si="1">IFERROR(OFFSET($L$17,VALUE(MID(OFFSET($L$17,31,MATCH($C2,$M$17:$X$17,0)),A2*2-1,2)),0),"")</f>
        <v/>
      </c>
      <c r="E2" s="214" t="str">
        <f>IF($B2&lt;=$N$14,申込書!$F$16,"")</f>
        <v/>
      </c>
      <c r="F2" s="214" t="str">
        <f t="shared" ref="F2:F65" si="2">IF($B2&lt;=$N$14,EDATE(E2,VLOOKUP($B2,申込,3,TRUE))-1,"")</f>
        <v/>
      </c>
      <c r="G2" s="214"/>
      <c r="H2" s="240" t="str">
        <f t="shared" ref="H2:H65" ca="1" si="3">IF(D2&lt;&gt;"",(VLOOKUP(D2,user,2,FALSE)="error")*1,"")</f>
        <v/>
      </c>
      <c r="K2" s="445">
        <v>1</v>
      </c>
      <c r="L2" s="233" t="str">
        <f>IF(申込書!E35&lt;&gt;"",申込書!E35,"")</f>
        <v/>
      </c>
      <c r="M2" s="234" t="str">
        <f>申込書!F35</f>
        <v/>
      </c>
      <c r="N2" s="444">
        <f>IF(M2&gt;0,IF(申込書!H35&lt;&gt;0,申込書!H35,0),"")</f>
        <v>0</v>
      </c>
      <c r="O2" s="226">
        <f t="shared" ref="O2:O13" si="4">IF(L2&lt;&gt;"",COUNTIF(C:C,L2),0)</f>
        <v>0</v>
      </c>
      <c r="P2" s="227">
        <f>M16</f>
        <v>0</v>
      </c>
      <c r="Q2" s="217">
        <f>受講者登録表!F13</f>
        <v>0</v>
      </c>
      <c r="R2" s="226">
        <f>MAX(N2:Q2)-MIN(N2:Q2)</f>
        <v>0</v>
      </c>
      <c r="S2" s="209">
        <f>IF(L2&lt;&gt;"",1,0)</f>
        <v>0</v>
      </c>
      <c r="T2" s="209">
        <f>IF(AND(S2=1,N2&gt;0),1,0)</f>
        <v>0</v>
      </c>
      <c r="U2" s="209">
        <f>IF(AND(S3=1,S2=1),1,0)</f>
        <v>0</v>
      </c>
    </row>
    <row r="3" spans="1:24" ht="21" customHeight="1">
      <c r="A3" s="211">
        <f t="shared" ref="A3:A66" si="5">IF(C3&lt;&gt;C2,1,A2+1)</f>
        <v>2</v>
      </c>
      <c r="B3" s="212">
        <f>B2+1</f>
        <v>2</v>
      </c>
      <c r="C3" s="213" t="str">
        <f t="shared" si="0"/>
        <v/>
      </c>
      <c r="D3" s="134" t="str">
        <f t="shared" ca="1" si="1"/>
        <v/>
      </c>
      <c r="E3" s="214" t="str">
        <f>IF($B3&lt;=$N$14,申込書!$F$16,"")</f>
        <v/>
      </c>
      <c r="F3" s="214" t="str">
        <f t="shared" si="2"/>
        <v/>
      </c>
      <c r="G3" s="214"/>
      <c r="H3" s="240" t="str">
        <f t="shared" ca="1" si="3"/>
        <v/>
      </c>
      <c r="K3" s="445">
        <f>IF(AND(S3=0,S4=0),$N$14+1,IF(T3=0,"",SUM(N$2:N2)+1))</f>
        <v>1</v>
      </c>
      <c r="L3" s="233" t="str">
        <f>IF(申込書!E36&lt;&gt;"",申込書!E36,"")</f>
        <v/>
      </c>
      <c r="M3" s="234" t="str">
        <f>申込書!F36</f>
        <v/>
      </c>
      <c r="N3" s="444">
        <f>IF(M3&gt;0,IF(申込書!H36&lt;&gt;0,申込書!H36,0),"")</f>
        <v>0</v>
      </c>
      <c r="O3" s="226">
        <f t="shared" si="4"/>
        <v>0</v>
      </c>
      <c r="P3" s="226">
        <f>N16</f>
        <v>0</v>
      </c>
      <c r="Q3" s="217">
        <f>受講者登録表!G13</f>
        <v>0</v>
      </c>
      <c r="R3" s="226">
        <f t="shared" ref="R3:R14" si="6">MAX(N3:Q3)-MIN(N3:Q3)</f>
        <v>0</v>
      </c>
      <c r="S3" s="209">
        <f t="shared" ref="S3:S13" si="7">IF(L3&lt;&gt;"",1,0)</f>
        <v>0</v>
      </c>
      <c r="T3" s="209">
        <f t="shared" ref="T3:T13" si="8">IF(AND(S3=1,N3&gt;0),1,0)</f>
        <v>0</v>
      </c>
      <c r="U3" s="209">
        <f t="shared" ref="U3:U13" si="9">IF(AND(S4=1,S3=1),1,0)</f>
        <v>0</v>
      </c>
    </row>
    <row r="4" spans="1:24" ht="21.65" customHeight="1">
      <c r="A4" s="211">
        <f t="shared" si="5"/>
        <v>3</v>
      </c>
      <c r="B4" s="212">
        <f t="shared" ref="B4:B67" si="10">B3+1</f>
        <v>3</v>
      </c>
      <c r="C4" s="213" t="str">
        <f t="shared" si="0"/>
        <v/>
      </c>
      <c r="D4" s="134" t="str">
        <f t="shared" ca="1" si="1"/>
        <v/>
      </c>
      <c r="E4" s="214" t="str">
        <f>IF($B4&lt;=$N$14,申込書!$F$16,"")</f>
        <v/>
      </c>
      <c r="F4" s="214" t="str">
        <f t="shared" si="2"/>
        <v/>
      </c>
      <c r="G4" s="214"/>
      <c r="H4" s="240" t="str">
        <f t="shared" ca="1" si="3"/>
        <v/>
      </c>
      <c r="K4" s="445">
        <f>IF(AND(S4=0,S5=0),$N$14+1,IF(T4=0,"",SUM(N$2:N3)+1))</f>
        <v>1</v>
      </c>
      <c r="L4" s="233" t="str">
        <f>IF(申込書!E37&lt;&gt;"",申込書!E37,"")</f>
        <v/>
      </c>
      <c r="M4" s="234" t="str">
        <f>申込書!F37</f>
        <v/>
      </c>
      <c r="N4" s="444">
        <f>IF(M4&gt;0,IF(申込書!H37&lt;&gt;0,申込書!H37,0),"")</f>
        <v>0</v>
      </c>
      <c r="O4" s="226">
        <f t="shared" si="4"/>
        <v>0</v>
      </c>
      <c r="P4" s="226">
        <f>O16</f>
        <v>0</v>
      </c>
      <c r="Q4" s="217">
        <f>受講者登録表!H13</f>
        <v>0</v>
      </c>
      <c r="R4" s="226">
        <f t="shared" si="6"/>
        <v>0</v>
      </c>
      <c r="S4" s="209">
        <f t="shared" si="7"/>
        <v>0</v>
      </c>
      <c r="T4" s="209">
        <f t="shared" si="8"/>
        <v>0</v>
      </c>
      <c r="U4" s="209">
        <f t="shared" si="9"/>
        <v>0</v>
      </c>
    </row>
    <row r="5" spans="1:24" ht="21" customHeight="1">
      <c r="A5" s="211">
        <f t="shared" si="5"/>
        <v>4</v>
      </c>
      <c r="B5" s="212">
        <f t="shared" si="10"/>
        <v>4</v>
      </c>
      <c r="C5" s="213" t="str">
        <f t="shared" si="0"/>
        <v/>
      </c>
      <c r="D5" s="134" t="str">
        <f t="shared" ca="1" si="1"/>
        <v/>
      </c>
      <c r="E5" s="214" t="str">
        <f>IF($B5&lt;=$N$14,申込書!$F$16,"")</f>
        <v/>
      </c>
      <c r="F5" s="214" t="str">
        <f t="shared" si="2"/>
        <v/>
      </c>
      <c r="G5" s="214"/>
      <c r="H5" s="240" t="str">
        <f t="shared" ca="1" si="3"/>
        <v/>
      </c>
      <c r="K5" s="445">
        <f>IF(AND(S5=0,S6=0),$N$14+1,IF(T5=0,"",SUM(N$2:N4)+1))</f>
        <v>1</v>
      </c>
      <c r="L5" s="233" t="str">
        <f>IF(申込書!E38&lt;&gt;"",申込書!E38,"")</f>
        <v/>
      </c>
      <c r="M5" s="234" t="str">
        <f>申込書!F38</f>
        <v/>
      </c>
      <c r="N5" s="444">
        <f>IF(M5&gt;0,IF(申込書!H38&lt;&gt;0,申込書!H38,0),"")</f>
        <v>0</v>
      </c>
      <c r="O5" s="226">
        <f t="shared" si="4"/>
        <v>0</v>
      </c>
      <c r="P5" s="226">
        <f>P16</f>
        <v>0</v>
      </c>
      <c r="Q5" s="217">
        <f>受講者登録表!I13</f>
        <v>0</v>
      </c>
      <c r="R5" s="226">
        <f t="shared" si="6"/>
        <v>0</v>
      </c>
      <c r="S5" s="209">
        <f t="shared" si="7"/>
        <v>0</v>
      </c>
      <c r="T5" s="209">
        <f t="shared" si="8"/>
        <v>0</v>
      </c>
      <c r="U5" s="209">
        <f t="shared" si="9"/>
        <v>0</v>
      </c>
    </row>
    <row r="6" spans="1:24" ht="21" customHeight="1">
      <c r="A6" s="211">
        <f t="shared" si="5"/>
        <v>5</v>
      </c>
      <c r="B6" s="212">
        <f t="shared" si="10"/>
        <v>5</v>
      </c>
      <c r="C6" s="213" t="str">
        <f t="shared" si="0"/>
        <v/>
      </c>
      <c r="D6" s="134" t="str">
        <f t="shared" ca="1" si="1"/>
        <v/>
      </c>
      <c r="E6" s="214" t="str">
        <f>IF($B6&lt;=$N$14,申込書!$F$16,"")</f>
        <v/>
      </c>
      <c r="F6" s="214" t="str">
        <f t="shared" si="2"/>
        <v/>
      </c>
      <c r="G6" s="214"/>
      <c r="H6" s="240" t="str">
        <f t="shared" ca="1" si="3"/>
        <v/>
      </c>
      <c r="K6" s="445">
        <f>IF(AND(S6=0,S7=0),$N$14+1,IF(T6=0,"",SUM(N$2:N5)+1))</f>
        <v>1</v>
      </c>
      <c r="L6" s="233" t="str">
        <f>IF(申込書!E39&lt;&gt;"",申込書!E39,"")</f>
        <v/>
      </c>
      <c r="M6" s="234" t="str">
        <f>申込書!F39</f>
        <v/>
      </c>
      <c r="N6" s="444">
        <f>IF(M6&gt;0,IF(申込書!H39&lt;&gt;0,申込書!H39,0),"")</f>
        <v>0</v>
      </c>
      <c r="O6" s="226">
        <f t="shared" si="4"/>
        <v>0</v>
      </c>
      <c r="P6" s="226">
        <f>Q16</f>
        <v>0</v>
      </c>
      <c r="Q6" s="217">
        <f>受講者登録表!J13</f>
        <v>0</v>
      </c>
      <c r="R6" s="226">
        <f t="shared" si="6"/>
        <v>0</v>
      </c>
      <c r="S6" s="209">
        <f t="shared" si="7"/>
        <v>0</v>
      </c>
      <c r="T6" s="209">
        <f t="shared" si="8"/>
        <v>0</v>
      </c>
      <c r="U6" s="209">
        <f t="shared" si="9"/>
        <v>0</v>
      </c>
    </row>
    <row r="7" spans="1:24" ht="21" customHeight="1">
      <c r="A7" s="211">
        <f t="shared" si="5"/>
        <v>6</v>
      </c>
      <c r="B7" s="212">
        <f t="shared" si="10"/>
        <v>6</v>
      </c>
      <c r="C7" s="213" t="str">
        <f t="shared" si="0"/>
        <v/>
      </c>
      <c r="D7" s="134" t="str">
        <f t="shared" ca="1" si="1"/>
        <v/>
      </c>
      <c r="E7" s="214" t="str">
        <f>IF($B7&lt;=$N$14,申込書!$F$16,"")</f>
        <v/>
      </c>
      <c r="F7" s="214" t="str">
        <f t="shared" si="2"/>
        <v/>
      </c>
      <c r="G7" s="214"/>
      <c r="H7" s="240" t="str">
        <f t="shared" ca="1" si="3"/>
        <v/>
      </c>
      <c r="K7" s="445">
        <f>IF(AND(S7=0,S8=0),$N$14+1,IF(T7=0,"",SUM(N$2:N6)+1))</f>
        <v>1</v>
      </c>
      <c r="L7" s="233" t="str">
        <f>IF(申込書!E40&lt;&gt;"",申込書!E40,"")</f>
        <v/>
      </c>
      <c r="M7" s="234" t="str">
        <f>申込書!F40</f>
        <v/>
      </c>
      <c r="N7" s="444">
        <f>IF(M7&gt;0,IF(申込書!H40&lt;&gt;0,申込書!H40,0),"")</f>
        <v>0</v>
      </c>
      <c r="O7" s="226">
        <f t="shared" si="4"/>
        <v>0</v>
      </c>
      <c r="P7" s="226">
        <f>R16</f>
        <v>0</v>
      </c>
      <c r="Q7" s="217">
        <f>受講者登録表!K13</f>
        <v>0</v>
      </c>
      <c r="R7" s="226">
        <f t="shared" si="6"/>
        <v>0</v>
      </c>
      <c r="S7" s="209">
        <f t="shared" si="7"/>
        <v>0</v>
      </c>
      <c r="T7" s="209">
        <f t="shared" si="8"/>
        <v>0</v>
      </c>
      <c r="U7" s="209">
        <f t="shared" si="9"/>
        <v>0</v>
      </c>
    </row>
    <row r="8" spans="1:24" ht="21" customHeight="1">
      <c r="A8" s="211">
        <f t="shared" si="5"/>
        <v>7</v>
      </c>
      <c r="B8" s="212">
        <f t="shared" si="10"/>
        <v>7</v>
      </c>
      <c r="C8" s="213" t="str">
        <f t="shared" si="0"/>
        <v/>
      </c>
      <c r="D8" s="134" t="str">
        <f t="shared" ca="1" si="1"/>
        <v/>
      </c>
      <c r="E8" s="214" t="str">
        <f>IF($B8&lt;=$N$14,申込書!$F$16,"")</f>
        <v/>
      </c>
      <c r="F8" s="214" t="str">
        <f t="shared" si="2"/>
        <v/>
      </c>
      <c r="G8" s="214"/>
      <c r="H8" s="240" t="str">
        <f t="shared" ca="1" si="3"/>
        <v/>
      </c>
      <c r="K8" s="445">
        <f>IF(AND(S8=0,S9=0),$N$14+1,IF(T8=0,"",SUM(N$2:N7)+1))</f>
        <v>1</v>
      </c>
      <c r="L8" s="233" t="str">
        <f>IF(申込書!E41&lt;&gt;"",申込書!E41,"")</f>
        <v/>
      </c>
      <c r="M8" s="234" t="str">
        <f>申込書!F41</f>
        <v/>
      </c>
      <c r="N8" s="444">
        <f>IF(M8&gt;0,IF(申込書!H41&lt;&gt;0,申込書!H41,0),"")</f>
        <v>0</v>
      </c>
      <c r="O8" s="226">
        <f t="shared" si="4"/>
        <v>0</v>
      </c>
      <c r="P8" s="226">
        <f>S16</f>
        <v>0</v>
      </c>
      <c r="Q8" s="217">
        <f>受講者登録表!L13</f>
        <v>0</v>
      </c>
      <c r="R8" s="226">
        <f t="shared" si="6"/>
        <v>0</v>
      </c>
      <c r="S8" s="209">
        <f t="shared" si="7"/>
        <v>0</v>
      </c>
      <c r="T8" s="209">
        <f t="shared" si="8"/>
        <v>0</v>
      </c>
      <c r="U8" s="209">
        <f t="shared" si="9"/>
        <v>0</v>
      </c>
    </row>
    <row r="9" spans="1:24" ht="21" customHeight="1">
      <c r="A9" s="211">
        <f t="shared" si="5"/>
        <v>8</v>
      </c>
      <c r="B9" s="212">
        <f t="shared" si="10"/>
        <v>8</v>
      </c>
      <c r="C9" s="213" t="str">
        <f t="shared" si="0"/>
        <v/>
      </c>
      <c r="D9" s="134" t="str">
        <f t="shared" ca="1" si="1"/>
        <v/>
      </c>
      <c r="E9" s="214" t="str">
        <f>IF($B9&lt;=$N$14,申込書!$F$16,"")</f>
        <v/>
      </c>
      <c r="F9" s="214" t="str">
        <f t="shared" si="2"/>
        <v/>
      </c>
      <c r="G9" s="214"/>
      <c r="H9" s="240" t="str">
        <f t="shared" ca="1" si="3"/>
        <v/>
      </c>
      <c r="K9" s="445">
        <f>IF(AND(S9=0,S10=0),$N$14+1,IF(T9=0,"",SUM(N$2:N8)+1))</f>
        <v>1</v>
      </c>
      <c r="L9" s="233" t="str">
        <f>IF(申込書!E42&lt;&gt;"",申込書!E42,"")</f>
        <v/>
      </c>
      <c r="M9" s="234" t="str">
        <f>申込書!F42</f>
        <v/>
      </c>
      <c r="N9" s="444">
        <f>IF(M9&gt;0,IF(申込書!H42&lt;&gt;0,申込書!H42,0),"")</f>
        <v>0</v>
      </c>
      <c r="O9" s="226">
        <f t="shared" si="4"/>
        <v>0</v>
      </c>
      <c r="P9" s="226">
        <f>T16</f>
        <v>0</v>
      </c>
      <c r="Q9" s="217">
        <f>受講者登録表!M13</f>
        <v>0</v>
      </c>
      <c r="R9" s="226">
        <f t="shared" si="6"/>
        <v>0</v>
      </c>
      <c r="S9" s="209">
        <f t="shared" si="7"/>
        <v>0</v>
      </c>
      <c r="T9" s="209">
        <f t="shared" si="8"/>
        <v>0</v>
      </c>
      <c r="U9" s="209">
        <f t="shared" si="9"/>
        <v>0</v>
      </c>
    </row>
    <row r="10" spans="1:24" ht="21" customHeight="1">
      <c r="A10" s="211">
        <f t="shared" si="5"/>
        <v>9</v>
      </c>
      <c r="B10" s="212">
        <f t="shared" si="10"/>
        <v>9</v>
      </c>
      <c r="C10" s="213" t="str">
        <f t="shared" si="0"/>
        <v/>
      </c>
      <c r="D10" s="134" t="str">
        <f t="shared" ca="1" si="1"/>
        <v/>
      </c>
      <c r="E10" s="214" t="str">
        <f>IF($B10&lt;=$N$14,申込書!$F$16,"")</f>
        <v/>
      </c>
      <c r="F10" s="214" t="str">
        <f t="shared" si="2"/>
        <v/>
      </c>
      <c r="G10" s="214"/>
      <c r="H10" s="240" t="str">
        <f t="shared" ca="1" si="3"/>
        <v/>
      </c>
      <c r="K10" s="445">
        <f>IF(AND(S10=0,S11=0),$N$14+1,IF(T10=0,"",SUM(N$2:N9)+1))</f>
        <v>1</v>
      </c>
      <c r="L10" s="233" t="str">
        <f>IF(申込書!E43&lt;&gt;"",申込書!E43,"")</f>
        <v/>
      </c>
      <c r="M10" s="234" t="str">
        <f>申込書!F43</f>
        <v/>
      </c>
      <c r="N10" s="444">
        <f>IF(M10&gt;0,IF(申込書!H43&lt;&gt;0,申込書!H43,0),"")</f>
        <v>0</v>
      </c>
      <c r="O10" s="226">
        <f t="shared" si="4"/>
        <v>0</v>
      </c>
      <c r="P10" s="226">
        <f>U16</f>
        <v>0</v>
      </c>
      <c r="Q10" s="217">
        <f>受講者登録表!N13</f>
        <v>0</v>
      </c>
      <c r="R10" s="226">
        <f t="shared" si="6"/>
        <v>0</v>
      </c>
      <c r="S10" s="209">
        <f t="shared" si="7"/>
        <v>0</v>
      </c>
      <c r="T10" s="209">
        <f t="shared" si="8"/>
        <v>0</v>
      </c>
      <c r="U10" s="209">
        <f t="shared" si="9"/>
        <v>0</v>
      </c>
    </row>
    <row r="11" spans="1:24" ht="21" customHeight="1">
      <c r="A11" s="211">
        <f t="shared" si="5"/>
        <v>10</v>
      </c>
      <c r="B11" s="212">
        <f t="shared" si="10"/>
        <v>10</v>
      </c>
      <c r="C11" s="213" t="str">
        <f t="shared" si="0"/>
        <v/>
      </c>
      <c r="D11" s="134" t="str">
        <f t="shared" ca="1" si="1"/>
        <v/>
      </c>
      <c r="E11" s="214" t="str">
        <f>IF($B11&lt;=$N$14,申込書!$F$16,"")</f>
        <v/>
      </c>
      <c r="F11" s="214" t="str">
        <f t="shared" si="2"/>
        <v/>
      </c>
      <c r="G11" s="214"/>
      <c r="H11" s="240" t="str">
        <f t="shared" ca="1" si="3"/>
        <v/>
      </c>
      <c r="K11" s="445">
        <f>IF(AND(S11=0,S12=0),$N$14+1,IF(T11=0,"",SUM(N$2:N10)+1))</f>
        <v>1</v>
      </c>
      <c r="L11" s="233" t="str">
        <f>IF(申込書!E44&lt;&gt;"",申込書!E44,"")</f>
        <v/>
      </c>
      <c r="M11" s="234" t="str">
        <f>申込書!F44</f>
        <v/>
      </c>
      <c r="N11" s="444">
        <f>IF(M11&gt;0,IF(申込書!H44&lt;&gt;0,申込書!H44,0),"")</f>
        <v>0</v>
      </c>
      <c r="O11" s="226">
        <f t="shared" si="4"/>
        <v>0</v>
      </c>
      <c r="P11" s="226">
        <f>V16</f>
        <v>0</v>
      </c>
      <c r="Q11" s="217">
        <f>受講者登録表!O13</f>
        <v>0</v>
      </c>
      <c r="R11" s="226">
        <f t="shared" si="6"/>
        <v>0</v>
      </c>
      <c r="S11" s="209">
        <f t="shared" si="7"/>
        <v>0</v>
      </c>
      <c r="T11" s="209">
        <f t="shared" si="8"/>
        <v>0</v>
      </c>
      <c r="U11" s="209">
        <f t="shared" si="9"/>
        <v>0</v>
      </c>
    </row>
    <row r="12" spans="1:24" ht="21" customHeight="1">
      <c r="A12" s="211">
        <f t="shared" si="5"/>
        <v>11</v>
      </c>
      <c r="B12" s="212">
        <f t="shared" si="10"/>
        <v>11</v>
      </c>
      <c r="C12" s="213" t="str">
        <f t="shared" si="0"/>
        <v/>
      </c>
      <c r="D12" s="134" t="str">
        <f t="shared" ca="1" si="1"/>
        <v/>
      </c>
      <c r="E12" s="214" t="str">
        <f>IF($B12&lt;=$N$14,申込書!$F$16,"")</f>
        <v/>
      </c>
      <c r="F12" s="214" t="str">
        <f t="shared" si="2"/>
        <v/>
      </c>
      <c r="G12" s="214"/>
      <c r="H12" s="240" t="str">
        <f t="shared" ca="1" si="3"/>
        <v/>
      </c>
      <c r="K12" s="445">
        <f>IF(AND(S12=0,S13=0),$N$14+1,IF(T12=0,"",SUM(N$2:N11)+1))</f>
        <v>1</v>
      </c>
      <c r="L12" s="233" t="str">
        <f>IF(申込書!E45&lt;&gt;"",申込書!E45,"")</f>
        <v/>
      </c>
      <c r="M12" s="234" t="str">
        <f>申込書!F45</f>
        <v/>
      </c>
      <c r="N12" s="444">
        <f>IF(M12&gt;0,IF(申込書!H45&lt;&gt;0,申込書!H45,0),"")</f>
        <v>0</v>
      </c>
      <c r="O12" s="226">
        <f t="shared" si="4"/>
        <v>0</v>
      </c>
      <c r="P12" s="226">
        <f>W16</f>
        <v>0</v>
      </c>
      <c r="Q12" s="217">
        <f>受講者登録表!P13</f>
        <v>0</v>
      </c>
      <c r="R12" s="226">
        <f t="shared" si="6"/>
        <v>0</v>
      </c>
      <c r="S12" s="209">
        <f t="shared" si="7"/>
        <v>0</v>
      </c>
      <c r="T12" s="209">
        <f t="shared" si="8"/>
        <v>0</v>
      </c>
      <c r="U12" s="209">
        <f t="shared" si="9"/>
        <v>0</v>
      </c>
    </row>
    <row r="13" spans="1:24" ht="21" customHeight="1">
      <c r="A13" s="211">
        <f t="shared" si="5"/>
        <v>12</v>
      </c>
      <c r="B13" s="212">
        <f t="shared" si="10"/>
        <v>12</v>
      </c>
      <c r="C13" s="213" t="str">
        <f t="shared" si="0"/>
        <v/>
      </c>
      <c r="D13" s="134" t="str">
        <f t="shared" ca="1" si="1"/>
        <v/>
      </c>
      <c r="E13" s="214" t="str">
        <f>IF($B13&lt;=$N$14,申込書!$F$16,"")</f>
        <v/>
      </c>
      <c r="F13" s="214" t="str">
        <f t="shared" si="2"/>
        <v/>
      </c>
      <c r="G13" s="214"/>
      <c r="H13" s="240" t="str">
        <f t="shared" ca="1" si="3"/>
        <v/>
      </c>
      <c r="K13" s="445">
        <f>IF(AND(S13=0,S14=0),$N$14+1,IF(T13=0,"",SUM(N$2:N12)+1))</f>
        <v>1</v>
      </c>
      <c r="L13" s="233" t="str">
        <f>IF(申込書!E46&lt;&gt;"",申込書!E46,"")</f>
        <v/>
      </c>
      <c r="M13" s="234" t="str">
        <f>申込書!F46</f>
        <v/>
      </c>
      <c r="N13" s="444">
        <f>IF(M13&gt;0,IF(申込書!H46&lt;&gt;0,申込書!H46,0),"")</f>
        <v>0</v>
      </c>
      <c r="O13" s="226">
        <f t="shared" si="4"/>
        <v>0</v>
      </c>
      <c r="P13" s="226">
        <f>X16</f>
        <v>0</v>
      </c>
      <c r="Q13" s="217">
        <f>受講者登録表!Q13</f>
        <v>0</v>
      </c>
      <c r="R13" s="226">
        <f t="shared" si="6"/>
        <v>0</v>
      </c>
      <c r="S13" s="209">
        <f t="shared" si="7"/>
        <v>0</v>
      </c>
      <c r="T13" s="209">
        <f t="shared" si="8"/>
        <v>0</v>
      </c>
      <c r="U13" s="209">
        <f t="shared" si="9"/>
        <v>0</v>
      </c>
    </row>
    <row r="14" spans="1:24" ht="21" customHeight="1">
      <c r="A14" s="211">
        <f t="shared" si="5"/>
        <v>13</v>
      </c>
      <c r="B14" s="212">
        <f t="shared" si="10"/>
        <v>13</v>
      </c>
      <c r="C14" s="213" t="str">
        <f t="shared" si="0"/>
        <v/>
      </c>
      <c r="D14" s="134" t="str">
        <f t="shared" ca="1" si="1"/>
        <v/>
      </c>
      <c r="E14" s="214" t="str">
        <f>IF($B14&lt;=$N$14,申込書!$F$16,"")</f>
        <v/>
      </c>
      <c r="F14" s="214" t="str">
        <f t="shared" si="2"/>
        <v/>
      </c>
      <c r="G14" s="214"/>
      <c r="H14" s="240" t="str">
        <f t="shared" ca="1" si="3"/>
        <v/>
      </c>
      <c r="L14" s="209" t="s">
        <v>213</v>
      </c>
      <c r="N14" s="224">
        <f>SUBTOTAL(9,N2:N13)</f>
        <v>0</v>
      </c>
      <c r="O14" s="224">
        <f>SUBTOTAL(9,O2:O13)</f>
        <v>0</v>
      </c>
      <c r="P14" s="224">
        <f>SUBTOTAL(9,P2:P13)</f>
        <v>0</v>
      </c>
      <c r="Q14" s="224">
        <f>SUBTOTAL(9,Q2:Q13)</f>
        <v>0</v>
      </c>
      <c r="R14" s="226">
        <f t="shared" si="6"/>
        <v>0</v>
      </c>
    </row>
    <row r="15" spans="1:24" ht="21.65" customHeight="1">
      <c r="A15" s="211">
        <f t="shared" si="5"/>
        <v>14</v>
      </c>
      <c r="B15" s="212">
        <f t="shared" si="10"/>
        <v>14</v>
      </c>
      <c r="C15" s="213" t="str">
        <f t="shared" si="0"/>
        <v/>
      </c>
      <c r="D15" s="134" t="str">
        <f t="shared" ca="1" si="1"/>
        <v/>
      </c>
      <c r="E15" s="214" t="str">
        <f>IF($B15&lt;=$N$14,申込書!$F$16,"")</f>
        <v/>
      </c>
      <c r="F15" s="214" t="str">
        <f t="shared" si="2"/>
        <v/>
      </c>
      <c r="G15" s="214"/>
      <c r="H15" s="240" t="str">
        <f t="shared" ca="1" si="3"/>
        <v/>
      </c>
      <c r="I15" s="210" t="str">
        <f>申込書!D31</f>
        <v/>
      </c>
    </row>
    <row r="16" spans="1:24">
      <c r="A16" s="211">
        <f t="shared" si="5"/>
        <v>15</v>
      </c>
      <c r="B16" s="212">
        <f t="shared" si="10"/>
        <v>15</v>
      </c>
      <c r="C16" s="213" t="str">
        <f t="shared" si="0"/>
        <v/>
      </c>
      <c r="D16" s="134" t="str">
        <f t="shared" ca="1" si="1"/>
        <v/>
      </c>
      <c r="E16" s="214" t="str">
        <f>IF($B16&lt;=$N$14,申込書!$F$16,"")</f>
        <v/>
      </c>
      <c r="F16" s="214" t="str">
        <f t="shared" si="2"/>
        <v/>
      </c>
      <c r="G16" s="214"/>
      <c r="H16" s="240" t="str">
        <f t="shared" ca="1" si="3"/>
        <v/>
      </c>
      <c r="I16" s="223" t="s">
        <v>265</v>
      </c>
      <c r="K16" s="216"/>
      <c r="L16" s="215"/>
      <c r="M16" s="215">
        <f>受講者登録表!F13</f>
        <v>0</v>
      </c>
      <c r="N16" s="215">
        <f>受講者登録表!G13</f>
        <v>0</v>
      </c>
      <c r="O16" s="215">
        <f>受講者登録表!H13</f>
        <v>0</v>
      </c>
      <c r="P16" s="215">
        <f>受講者登録表!I13</f>
        <v>0</v>
      </c>
      <c r="Q16" s="215">
        <f>受講者登録表!J13</f>
        <v>0</v>
      </c>
      <c r="R16" s="215">
        <f>受講者登録表!K13</f>
        <v>0</v>
      </c>
      <c r="S16" s="215">
        <f>受講者登録表!L13</f>
        <v>0</v>
      </c>
      <c r="T16" s="215">
        <f>受講者登録表!M13</f>
        <v>0</v>
      </c>
      <c r="U16" s="215">
        <f>受講者登録表!N13</f>
        <v>0</v>
      </c>
      <c r="V16" s="215">
        <f>受講者登録表!O13</f>
        <v>0</v>
      </c>
      <c r="W16" s="215">
        <f>受講者登録表!P13</f>
        <v>0</v>
      </c>
      <c r="X16" s="215">
        <f>受講者登録表!Q13</f>
        <v>0</v>
      </c>
    </row>
    <row r="17" spans="1:24">
      <c r="A17" s="211">
        <f t="shared" si="5"/>
        <v>16</v>
      </c>
      <c r="B17" s="212">
        <f t="shared" si="10"/>
        <v>16</v>
      </c>
      <c r="C17" s="213" t="str">
        <f t="shared" si="0"/>
        <v/>
      </c>
      <c r="D17" s="134" t="str">
        <f t="shared" ca="1" si="1"/>
        <v/>
      </c>
      <c r="E17" s="214" t="str">
        <f>IF($B17&lt;=$N$14,申込書!$F$16,"")</f>
        <v/>
      </c>
      <c r="F17" s="214" t="str">
        <f t="shared" si="2"/>
        <v/>
      </c>
      <c r="G17" s="214"/>
      <c r="H17" s="240" t="str">
        <f t="shared" ca="1" si="3"/>
        <v/>
      </c>
      <c r="I17" s="230" t="s">
        <v>266</v>
      </c>
      <c r="J17" s="230" t="s">
        <v>267</v>
      </c>
      <c r="K17" s="230" t="s">
        <v>269</v>
      </c>
      <c r="L17" s="209" t="s">
        <v>191</v>
      </c>
      <c r="M17" s="217" t="str">
        <f>IF(受講者登録表!F11&lt;&gt;"",受講者登録表!F12,"")</f>
        <v/>
      </c>
      <c r="N17" s="217" t="str">
        <f>IF(受講者登録表!G11&lt;&gt;"",受講者登録表!G12,"")</f>
        <v/>
      </c>
      <c r="O17" s="217" t="str">
        <f>IF(受講者登録表!H11&lt;&gt;"",受講者登録表!H12,"")</f>
        <v/>
      </c>
      <c r="P17" s="217" t="str">
        <f>IF(受講者登録表!I11&lt;&gt;"",受講者登録表!I12,"")</f>
        <v/>
      </c>
      <c r="Q17" s="217" t="str">
        <f>IF(受講者登録表!J11&lt;&gt;"",受講者登録表!J12,"")</f>
        <v/>
      </c>
      <c r="R17" s="217" t="str">
        <f>IF(受講者登録表!K11&lt;&gt;"",受講者登録表!K12,"")</f>
        <v/>
      </c>
      <c r="S17" s="217" t="str">
        <f>IF(受講者登録表!L11&lt;&gt;"",受講者登録表!L12,"")</f>
        <v/>
      </c>
      <c r="T17" s="217" t="str">
        <f>IF(受講者登録表!M11&lt;&gt;"",受講者登録表!M12,"")</f>
        <v/>
      </c>
      <c r="U17" s="217" t="str">
        <f>IF(受講者登録表!N11&lt;&gt;"",受講者登録表!N12,"")</f>
        <v/>
      </c>
      <c r="V17" s="217" t="str">
        <f>IF(受講者登録表!O11&lt;&gt;"",受講者登録表!O12,"")</f>
        <v/>
      </c>
      <c r="W17" s="217" t="str">
        <f>IF(受講者登録表!P11&lt;&gt;"",受講者登録表!P12,"")</f>
        <v/>
      </c>
      <c r="X17" s="217" t="str">
        <f>IF(受講者登録表!Q11&lt;&gt;"",受講者登録表!Q12,"")</f>
        <v/>
      </c>
    </row>
    <row r="18" spans="1:24">
      <c r="A18" s="211">
        <f t="shared" si="5"/>
        <v>17</v>
      </c>
      <c r="B18" s="212">
        <f t="shared" si="10"/>
        <v>17</v>
      </c>
      <c r="C18" s="213" t="str">
        <f t="shared" si="0"/>
        <v/>
      </c>
      <c r="D18" s="134" t="str">
        <f t="shared" ca="1" si="1"/>
        <v/>
      </c>
      <c r="E18" s="214" t="str">
        <f>IF($B18&lt;=$N$14,申込書!$F$16,"")</f>
        <v/>
      </c>
      <c r="F18" s="214" t="str">
        <f t="shared" si="2"/>
        <v/>
      </c>
      <c r="G18" s="214"/>
      <c r="H18" s="240" t="str">
        <f t="shared" ca="1" si="3"/>
        <v/>
      </c>
      <c r="I18" s="224">
        <f>IF(L18&lt;&gt;"",COUNTIF(D:D,L18),0)</f>
        <v>0</v>
      </c>
      <c r="J18" s="222">
        <f>COUNTIF($M18:$X18,"&gt;""")</f>
        <v>0</v>
      </c>
      <c r="K18" s="228">
        <f>受講者登録表!S15</f>
        <v>0</v>
      </c>
      <c r="L18" s="221" t="str">
        <f>IF(ユーザー登録!A2&lt;&gt;"",ユーザー登録!A2,"")</f>
        <v/>
      </c>
      <c r="M18" s="218" t="str">
        <f>IF(受講者登録表!F15="●",RIGHT("0"&amp;ROW(L18)-17,2),"")</f>
        <v/>
      </c>
      <c r="N18" s="218" t="str">
        <f>IF(受講者登録表!G15="●",RIGHT("0"&amp;ROW(M18)-17,2),"")</f>
        <v/>
      </c>
      <c r="O18" s="218" t="str">
        <f>IF(受講者登録表!H15="●",RIGHT("0"&amp;ROW(N18)-17,2),"")</f>
        <v/>
      </c>
      <c r="P18" s="218" t="str">
        <f>IF(受講者登録表!I15="●",RIGHT("0"&amp;ROW(O18)-17,2),"")</f>
        <v/>
      </c>
      <c r="Q18" s="218" t="str">
        <f>IF(受講者登録表!J15="●",RIGHT("0"&amp;ROW(P18)-17,2),"")</f>
        <v/>
      </c>
      <c r="R18" s="218" t="str">
        <f>IF(受講者登録表!K15="●",RIGHT("0"&amp;ROW(Q18)-17,2),"")</f>
        <v/>
      </c>
      <c r="S18" s="218" t="str">
        <f>IF(受講者登録表!L15="●",RIGHT("0"&amp;ROW(R18)-17,2),"")</f>
        <v/>
      </c>
      <c r="T18" s="218" t="str">
        <f>IF(受講者登録表!M15="●",RIGHT("0"&amp;ROW(S18)-17,2),"")</f>
        <v/>
      </c>
      <c r="U18" s="218" t="str">
        <f>IF(受講者登録表!N15="●",RIGHT("0"&amp;ROW(T18)-17,2),"")</f>
        <v/>
      </c>
      <c r="V18" s="218" t="str">
        <f>IF(受講者登録表!O15="●",RIGHT("0"&amp;ROW(U18)-17,2),"")</f>
        <v/>
      </c>
      <c r="W18" s="218" t="str">
        <f>IF(受講者登録表!P15="●",RIGHT("0"&amp;ROW(V18)-17,2),"")</f>
        <v/>
      </c>
      <c r="X18" s="218" t="str">
        <f>IF(受講者登録表!Q15="●",RIGHT("0"&amp;ROW(W18)-17,2),"")</f>
        <v/>
      </c>
    </row>
    <row r="19" spans="1:24">
      <c r="A19" s="211">
        <f t="shared" si="5"/>
        <v>18</v>
      </c>
      <c r="B19" s="212">
        <f t="shared" si="10"/>
        <v>18</v>
      </c>
      <c r="C19" s="213" t="str">
        <f t="shared" si="0"/>
        <v/>
      </c>
      <c r="D19" s="134" t="str">
        <f t="shared" ca="1" si="1"/>
        <v/>
      </c>
      <c r="E19" s="214" t="str">
        <f>IF($B19&lt;=$N$14,申込書!$F$16,"")</f>
        <v/>
      </c>
      <c r="F19" s="214" t="str">
        <f t="shared" si="2"/>
        <v/>
      </c>
      <c r="G19" s="214"/>
      <c r="H19" s="240" t="str">
        <f t="shared" ca="1" si="3"/>
        <v/>
      </c>
      <c r="I19" s="224">
        <f t="shared" ref="I19:I47" si="11">IF(L19&lt;&gt;"",COUNTIF(D:D,L19),0)</f>
        <v>0</v>
      </c>
      <c r="J19" s="222">
        <f t="shared" ref="J19:J47" si="12">COUNTIF($M19:$X19,"&gt;""")</f>
        <v>0</v>
      </c>
      <c r="K19" s="228">
        <f>受講者登録表!S16</f>
        <v>0</v>
      </c>
      <c r="L19" s="221" t="str">
        <f>IF(ユーザー登録!A3&lt;&gt;"",ユーザー登録!A3,"")</f>
        <v/>
      </c>
      <c r="M19" s="218" t="str">
        <f>IF(受講者登録表!F16="●",RIGHT("0"&amp;ROW(L19)-17,2),"")</f>
        <v/>
      </c>
      <c r="N19" s="218" t="str">
        <f>IF(受講者登録表!G16="●",RIGHT("0"&amp;ROW(M19)-17,2),"")</f>
        <v/>
      </c>
      <c r="O19" s="218" t="str">
        <f>IF(受講者登録表!H16="●",RIGHT("0"&amp;ROW(N19)-17,2),"")</f>
        <v/>
      </c>
      <c r="P19" s="218" t="str">
        <f>IF(受講者登録表!I16="●",RIGHT("0"&amp;ROW(O19)-17,2),"")</f>
        <v/>
      </c>
      <c r="Q19" s="218" t="str">
        <f>IF(受講者登録表!J16="●",RIGHT("0"&amp;ROW(P19)-17,2),"")</f>
        <v/>
      </c>
      <c r="R19" s="218" t="str">
        <f>IF(受講者登録表!K16="●",RIGHT("0"&amp;ROW(Q19)-17,2),"")</f>
        <v/>
      </c>
      <c r="S19" s="218" t="str">
        <f>IF(受講者登録表!L16="●",RIGHT("0"&amp;ROW(R19)-17,2),"")</f>
        <v/>
      </c>
      <c r="T19" s="218" t="str">
        <f>IF(受講者登録表!M16="●",RIGHT("0"&amp;ROW(S19)-17,2),"")</f>
        <v/>
      </c>
      <c r="U19" s="218" t="str">
        <f>IF(受講者登録表!N16="●",RIGHT("0"&amp;ROW(T19)-17,2),"")</f>
        <v/>
      </c>
      <c r="V19" s="218" t="str">
        <f>IF(受講者登録表!O16="●",RIGHT("0"&amp;ROW(U19)-17,2),"")</f>
        <v/>
      </c>
      <c r="W19" s="218" t="str">
        <f>IF(受講者登録表!P16="●",RIGHT("0"&amp;ROW(V19)-17,2),"")</f>
        <v/>
      </c>
      <c r="X19" s="218" t="str">
        <f>IF(受講者登録表!Q16="●",RIGHT("0"&amp;ROW(W19)-17,2),"")</f>
        <v/>
      </c>
    </row>
    <row r="20" spans="1:24">
      <c r="A20" s="211">
        <f t="shared" si="5"/>
        <v>19</v>
      </c>
      <c r="B20" s="212">
        <f t="shared" si="10"/>
        <v>19</v>
      </c>
      <c r="C20" s="213" t="str">
        <f t="shared" si="0"/>
        <v/>
      </c>
      <c r="D20" s="134" t="str">
        <f t="shared" ca="1" si="1"/>
        <v/>
      </c>
      <c r="E20" s="214" t="str">
        <f>IF($B20&lt;=$N$14,申込書!$F$16,"")</f>
        <v/>
      </c>
      <c r="F20" s="214" t="str">
        <f t="shared" si="2"/>
        <v/>
      </c>
      <c r="G20" s="214"/>
      <c r="H20" s="240" t="str">
        <f t="shared" ca="1" si="3"/>
        <v/>
      </c>
      <c r="I20" s="224">
        <f t="shared" si="11"/>
        <v>0</v>
      </c>
      <c r="J20" s="222">
        <f t="shared" si="12"/>
        <v>0</v>
      </c>
      <c r="K20" s="228">
        <f>受講者登録表!S17</f>
        <v>0</v>
      </c>
      <c r="L20" s="221" t="str">
        <f>IF(ユーザー登録!A4&lt;&gt;"",ユーザー登録!A4,"")</f>
        <v/>
      </c>
      <c r="M20" s="218" t="str">
        <f>IF(受講者登録表!F17="●",RIGHT("0"&amp;ROW(L20)-17,2),"")</f>
        <v/>
      </c>
      <c r="N20" s="218" t="str">
        <f>IF(受講者登録表!G17="●",RIGHT("0"&amp;ROW(M20)-17,2),"")</f>
        <v/>
      </c>
      <c r="O20" s="218" t="str">
        <f>IF(受講者登録表!H17="●",RIGHT("0"&amp;ROW(N20)-17,2),"")</f>
        <v/>
      </c>
      <c r="P20" s="218" t="str">
        <f>IF(受講者登録表!I17="●",RIGHT("0"&amp;ROW(O20)-17,2),"")</f>
        <v/>
      </c>
      <c r="Q20" s="218" t="str">
        <f>IF(受講者登録表!J17="●",RIGHT("0"&amp;ROW(P20)-17,2),"")</f>
        <v/>
      </c>
      <c r="R20" s="218" t="str">
        <f>IF(受講者登録表!K17="●",RIGHT("0"&amp;ROW(Q20)-17,2),"")</f>
        <v/>
      </c>
      <c r="S20" s="218" t="str">
        <f>IF(受講者登録表!L17="●",RIGHT("0"&amp;ROW(R20)-17,2),"")</f>
        <v/>
      </c>
      <c r="T20" s="218" t="str">
        <f>IF(受講者登録表!M17="●",RIGHT("0"&amp;ROW(S20)-17,2),"")</f>
        <v/>
      </c>
      <c r="U20" s="218" t="str">
        <f>IF(受講者登録表!N17="●",RIGHT("0"&amp;ROW(T20)-17,2),"")</f>
        <v/>
      </c>
      <c r="V20" s="218" t="str">
        <f>IF(受講者登録表!O17="●",RIGHT("0"&amp;ROW(U20)-17,2),"")</f>
        <v/>
      </c>
      <c r="W20" s="218" t="str">
        <f>IF(受講者登録表!P17="●",RIGHT("0"&amp;ROW(V20)-17,2),"")</f>
        <v/>
      </c>
      <c r="X20" s="218" t="str">
        <f>IF(受講者登録表!Q17="●",RIGHT("0"&amp;ROW(W20)-17,2),"")</f>
        <v/>
      </c>
    </row>
    <row r="21" spans="1:24">
      <c r="A21" s="211">
        <f t="shared" si="5"/>
        <v>20</v>
      </c>
      <c r="B21" s="212">
        <f t="shared" si="10"/>
        <v>20</v>
      </c>
      <c r="C21" s="213" t="str">
        <f t="shared" si="0"/>
        <v/>
      </c>
      <c r="D21" s="134" t="str">
        <f t="shared" ca="1" si="1"/>
        <v/>
      </c>
      <c r="E21" s="214" t="str">
        <f>IF($B21&lt;=$N$14,申込書!$F$16,"")</f>
        <v/>
      </c>
      <c r="F21" s="214" t="str">
        <f t="shared" si="2"/>
        <v/>
      </c>
      <c r="G21" s="214"/>
      <c r="H21" s="240" t="str">
        <f t="shared" ca="1" si="3"/>
        <v/>
      </c>
      <c r="I21" s="224">
        <f t="shared" si="11"/>
        <v>0</v>
      </c>
      <c r="J21" s="222">
        <f t="shared" si="12"/>
        <v>0</v>
      </c>
      <c r="K21" s="228">
        <f>受講者登録表!S18</f>
        <v>0</v>
      </c>
      <c r="L21" s="221" t="str">
        <f>IF(ユーザー登録!A5&lt;&gt;"",ユーザー登録!A5,"")</f>
        <v/>
      </c>
      <c r="M21" s="218" t="str">
        <f>IF(受講者登録表!F18="●",RIGHT("0"&amp;ROW(L21)-17,2),"")</f>
        <v/>
      </c>
      <c r="N21" s="218" t="str">
        <f>IF(受講者登録表!G18="●",RIGHT("0"&amp;ROW(M21)-17,2),"")</f>
        <v/>
      </c>
      <c r="O21" s="218" t="str">
        <f>IF(受講者登録表!H18="●",RIGHT("0"&amp;ROW(N21)-17,2),"")</f>
        <v/>
      </c>
      <c r="P21" s="218" t="str">
        <f>IF(受講者登録表!I18="●",RIGHT("0"&amp;ROW(O21)-17,2),"")</f>
        <v/>
      </c>
      <c r="Q21" s="218" t="str">
        <f>IF(受講者登録表!J18="●",RIGHT("0"&amp;ROW(P21)-17,2),"")</f>
        <v/>
      </c>
      <c r="R21" s="218" t="str">
        <f>IF(受講者登録表!K18="●",RIGHT("0"&amp;ROW(Q21)-17,2),"")</f>
        <v/>
      </c>
      <c r="S21" s="218" t="str">
        <f>IF(受講者登録表!L18="●",RIGHT("0"&amp;ROW(R21)-17,2),"")</f>
        <v/>
      </c>
      <c r="T21" s="218" t="str">
        <f>IF(受講者登録表!M18="●",RIGHT("0"&amp;ROW(S21)-17,2),"")</f>
        <v/>
      </c>
      <c r="U21" s="218" t="str">
        <f>IF(受講者登録表!N18="●",RIGHT("0"&amp;ROW(T21)-17,2),"")</f>
        <v/>
      </c>
      <c r="V21" s="218" t="str">
        <f>IF(受講者登録表!O18="●",RIGHT("0"&amp;ROW(U21)-17,2),"")</f>
        <v/>
      </c>
      <c r="W21" s="218" t="str">
        <f>IF(受講者登録表!P18="●",RIGHT("0"&amp;ROW(V21)-17,2),"")</f>
        <v/>
      </c>
      <c r="X21" s="218" t="str">
        <f>IF(受講者登録表!Q18="●",RIGHT("0"&amp;ROW(W21)-17,2),"")</f>
        <v/>
      </c>
    </row>
    <row r="22" spans="1:24">
      <c r="A22" s="211">
        <f t="shared" si="5"/>
        <v>21</v>
      </c>
      <c r="B22" s="212">
        <f t="shared" si="10"/>
        <v>21</v>
      </c>
      <c r="C22" s="213" t="str">
        <f t="shared" si="0"/>
        <v/>
      </c>
      <c r="D22" s="134" t="str">
        <f t="shared" ca="1" si="1"/>
        <v/>
      </c>
      <c r="E22" s="214" t="str">
        <f>IF($B22&lt;=$N$14,申込書!$F$16,"")</f>
        <v/>
      </c>
      <c r="F22" s="214" t="str">
        <f t="shared" si="2"/>
        <v/>
      </c>
      <c r="G22" s="214"/>
      <c r="H22" s="240" t="str">
        <f t="shared" ca="1" si="3"/>
        <v/>
      </c>
      <c r="I22" s="224">
        <f t="shared" si="11"/>
        <v>0</v>
      </c>
      <c r="J22" s="222">
        <f t="shared" si="12"/>
        <v>0</v>
      </c>
      <c r="K22" s="228">
        <f>受講者登録表!S19</f>
        <v>0</v>
      </c>
      <c r="L22" s="221" t="str">
        <f>IF(ユーザー登録!A6&lt;&gt;"",ユーザー登録!A6,"")</f>
        <v/>
      </c>
      <c r="M22" s="218" t="str">
        <f>IF(受講者登録表!F19="●",RIGHT("0"&amp;ROW(L22)-17,2),"")</f>
        <v/>
      </c>
      <c r="N22" s="218" t="str">
        <f>IF(受講者登録表!G19="●",RIGHT("0"&amp;ROW(M22)-17,2),"")</f>
        <v/>
      </c>
      <c r="O22" s="218" t="str">
        <f>IF(受講者登録表!H19="●",RIGHT("0"&amp;ROW(N22)-17,2),"")</f>
        <v/>
      </c>
      <c r="P22" s="218" t="str">
        <f>IF(受講者登録表!I19="●",RIGHT("0"&amp;ROW(O22)-17,2),"")</f>
        <v/>
      </c>
      <c r="Q22" s="218" t="str">
        <f>IF(受講者登録表!J19="●",RIGHT("0"&amp;ROW(P22)-17,2),"")</f>
        <v/>
      </c>
      <c r="R22" s="218" t="str">
        <f>IF(受講者登録表!K19="●",RIGHT("0"&amp;ROW(Q22)-17,2),"")</f>
        <v/>
      </c>
      <c r="S22" s="218" t="str">
        <f>IF(受講者登録表!L19="●",RIGHT("0"&amp;ROW(R22)-17,2),"")</f>
        <v/>
      </c>
      <c r="T22" s="218" t="str">
        <f>IF(受講者登録表!M19="●",RIGHT("0"&amp;ROW(S22)-17,2),"")</f>
        <v/>
      </c>
      <c r="U22" s="218" t="str">
        <f>IF(受講者登録表!N19="●",RIGHT("0"&amp;ROW(T22)-17,2),"")</f>
        <v/>
      </c>
      <c r="V22" s="218" t="str">
        <f>IF(受講者登録表!O19="●",RIGHT("0"&amp;ROW(U22)-17,2),"")</f>
        <v/>
      </c>
      <c r="W22" s="218" t="str">
        <f>IF(受講者登録表!P19="●",RIGHT("0"&amp;ROW(V22)-17,2),"")</f>
        <v/>
      </c>
      <c r="X22" s="218" t="str">
        <f>IF(受講者登録表!Q19="●",RIGHT("0"&amp;ROW(W22)-17,2),"")</f>
        <v/>
      </c>
    </row>
    <row r="23" spans="1:24">
      <c r="A23" s="211">
        <f t="shared" si="5"/>
        <v>22</v>
      </c>
      <c r="B23" s="212">
        <f t="shared" si="10"/>
        <v>22</v>
      </c>
      <c r="C23" s="213" t="str">
        <f t="shared" si="0"/>
        <v/>
      </c>
      <c r="D23" s="134" t="str">
        <f t="shared" ca="1" si="1"/>
        <v/>
      </c>
      <c r="E23" s="214" t="str">
        <f>IF($B23&lt;=$N$14,申込書!$F$16,"")</f>
        <v/>
      </c>
      <c r="F23" s="214" t="str">
        <f t="shared" si="2"/>
        <v/>
      </c>
      <c r="G23" s="214"/>
      <c r="H23" s="240" t="str">
        <f t="shared" ca="1" si="3"/>
        <v/>
      </c>
      <c r="I23" s="224">
        <f t="shared" si="11"/>
        <v>0</v>
      </c>
      <c r="J23" s="222">
        <f t="shared" si="12"/>
        <v>0</v>
      </c>
      <c r="K23" s="228">
        <f>受講者登録表!S20</f>
        <v>0</v>
      </c>
      <c r="L23" s="221" t="str">
        <f>IF(ユーザー登録!A7&lt;&gt;"",ユーザー登録!A7,"")</f>
        <v/>
      </c>
      <c r="M23" s="218" t="str">
        <f>IF(受講者登録表!F20="●",RIGHT("0"&amp;ROW(L23)-17,2),"")</f>
        <v/>
      </c>
      <c r="N23" s="218" t="str">
        <f>IF(受講者登録表!G20="●",RIGHT("0"&amp;ROW(M23)-17,2),"")</f>
        <v/>
      </c>
      <c r="O23" s="218" t="str">
        <f>IF(受講者登録表!H20="●",RIGHT("0"&amp;ROW(N23)-17,2),"")</f>
        <v/>
      </c>
      <c r="P23" s="218" t="str">
        <f>IF(受講者登録表!I20="●",RIGHT("0"&amp;ROW(O23)-17,2),"")</f>
        <v/>
      </c>
      <c r="Q23" s="218" t="str">
        <f>IF(受講者登録表!J20="●",RIGHT("0"&amp;ROW(P23)-17,2),"")</f>
        <v/>
      </c>
      <c r="R23" s="218" t="str">
        <f>IF(受講者登録表!K20="●",RIGHT("0"&amp;ROW(Q23)-17,2),"")</f>
        <v/>
      </c>
      <c r="S23" s="218" t="str">
        <f>IF(受講者登録表!L20="●",RIGHT("0"&amp;ROW(R23)-17,2),"")</f>
        <v/>
      </c>
      <c r="T23" s="218" t="str">
        <f>IF(受講者登録表!M20="●",RIGHT("0"&amp;ROW(S23)-17,2),"")</f>
        <v/>
      </c>
      <c r="U23" s="218" t="str">
        <f>IF(受講者登録表!N20="●",RIGHT("0"&amp;ROW(T23)-17,2),"")</f>
        <v/>
      </c>
      <c r="V23" s="218" t="str">
        <f>IF(受講者登録表!O20="●",RIGHT("0"&amp;ROW(U23)-17,2),"")</f>
        <v/>
      </c>
      <c r="W23" s="218" t="str">
        <f>IF(受講者登録表!P20="●",RIGHT("0"&amp;ROW(V23)-17,2),"")</f>
        <v/>
      </c>
      <c r="X23" s="218" t="str">
        <f>IF(受講者登録表!Q20="●",RIGHT("0"&amp;ROW(W23)-17,2),"")</f>
        <v/>
      </c>
    </row>
    <row r="24" spans="1:24">
      <c r="A24" s="211">
        <f t="shared" si="5"/>
        <v>23</v>
      </c>
      <c r="B24" s="212">
        <f t="shared" si="10"/>
        <v>23</v>
      </c>
      <c r="C24" s="213" t="str">
        <f t="shared" si="0"/>
        <v/>
      </c>
      <c r="D24" s="134" t="str">
        <f t="shared" ca="1" si="1"/>
        <v/>
      </c>
      <c r="E24" s="214" t="str">
        <f>IF($B24&lt;=$N$14,申込書!$F$16,"")</f>
        <v/>
      </c>
      <c r="F24" s="214" t="str">
        <f t="shared" si="2"/>
        <v/>
      </c>
      <c r="G24" s="214"/>
      <c r="H24" s="240" t="str">
        <f t="shared" ca="1" si="3"/>
        <v/>
      </c>
      <c r="I24" s="224">
        <f t="shared" si="11"/>
        <v>0</v>
      </c>
      <c r="J24" s="222">
        <f t="shared" si="12"/>
        <v>0</v>
      </c>
      <c r="K24" s="228">
        <f>受講者登録表!S21</f>
        <v>0</v>
      </c>
      <c r="L24" s="221" t="str">
        <f>IF(ユーザー登録!A8&lt;&gt;"",ユーザー登録!A8,"")</f>
        <v/>
      </c>
      <c r="M24" s="218" t="str">
        <f>IF(受講者登録表!F21="●",RIGHT("0"&amp;ROW(L24)-17,2),"")</f>
        <v/>
      </c>
      <c r="N24" s="218" t="str">
        <f>IF(受講者登録表!G21="●",RIGHT("0"&amp;ROW(M24)-17,2),"")</f>
        <v/>
      </c>
      <c r="O24" s="218" t="str">
        <f>IF(受講者登録表!H21="●",RIGHT("0"&amp;ROW(N24)-17,2),"")</f>
        <v/>
      </c>
      <c r="P24" s="218" t="str">
        <f>IF(受講者登録表!I21="●",RIGHT("0"&amp;ROW(O24)-17,2),"")</f>
        <v/>
      </c>
      <c r="Q24" s="218" t="str">
        <f>IF(受講者登録表!J21="●",RIGHT("0"&amp;ROW(P24)-17,2),"")</f>
        <v/>
      </c>
      <c r="R24" s="218" t="str">
        <f>IF(受講者登録表!K21="●",RIGHT("0"&amp;ROW(Q24)-17,2),"")</f>
        <v/>
      </c>
      <c r="S24" s="218" t="str">
        <f>IF(受講者登録表!L21="●",RIGHT("0"&amp;ROW(R24)-17,2),"")</f>
        <v/>
      </c>
      <c r="T24" s="218" t="str">
        <f>IF(受講者登録表!M21="●",RIGHT("0"&amp;ROW(S24)-17,2),"")</f>
        <v/>
      </c>
      <c r="U24" s="218" t="str">
        <f>IF(受講者登録表!N21="●",RIGHT("0"&amp;ROW(T24)-17,2),"")</f>
        <v/>
      </c>
      <c r="V24" s="218" t="str">
        <f>IF(受講者登録表!O21="●",RIGHT("0"&amp;ROW(U24)-17,2),"")</f>
        <v/>
      </c>
      <c r="W24" s="218" t="str">
        <f>IF(受講者登録表!P21="●",RIGHT("0"&amp;ROW(V24)-17,2),"")</f>
        <v/>
      </c>
      <c r="X24" s="218" t="str">
        <f>IF(受講者登録表!Q21="●",RIGHT("0"&amp;ROW(W24)-17,2),"")</f>
        <v/>
      </c>
    </row>
    <row r="25" spans="1:24">
      <c r="A25" s="211">
        <f t="shared" si="5"/>
        <v>24</v>
      </c>
      <c r="B25" s="212">
        <f t="shared" si="10"/>
        <v>24</v>
      </c>
      <c r="C25" s="213" t="str">
        <f t="shared" si="0"/>
        <v/>
      </c>
      <c r="D25" s="134" t="str">
        <f t="shared" ca="1" si="1"/>
        <v/>
      </c>
      <c r="E25" s="214" t="str">
        <f>IF($B25&lt;=$N$14,申込書!$F$16,"")</f>
        <v/>
      </c>
      <c r="F25" s="214" t="str">
        <f t="shared" si="2"/>
        <v/>
      </c>
      <c r="G25" s="214"/>
      <c r="H25" s="240" t="str">
        <f t="shared" ca="1" si="3"/>
        <v/>
      </c>
      <c r="I25" s="224">
        <f t="shared" si="11"/>
        <v>0</v>
      </c>
      <c r="J25" s="222">
        <f t="shared" si="12"/>
        <v>0</v>
      </c>
      <c r="K25" s="228">
        <f>受講者登録表!S22</f>
        <v>0</v>
      </c>
      <c r="L25" s="221" t="str">
        <f>IF(ユーザー登録!A9&lt;&gt;"",ユーザー登録!A9,"")</f>
        <v/>
      </c>
      <c r="M25" s="218" t="str">
        <f>IF(受講者登録表!F22="●",RIGHT("0"&amp;ROW(L25)-17,2),"")</f>
        <v/>
      </c>
      <c r="N25" s="218" t="str">
        <f>IF(受講者登録表!G22="●",RIGHT("0"&amp;ROW(M25)-17,2),"")</f>
        <v/>
      </c>
      <c r="O25" s="218" t="str">
        <f>IF(受講者登録表!H22="●",RIGHT("0"&amp;ROW(N25)-17,2),"")</f>
        <v/>
      </c>
      <c r="P25" s="218" t="str">
        <f>IF(受講者登録表!I22="●",RIGHT("0"&amp;ROW(O25)-17,2),"")</f>
        <v/>
      </c>
      <c r="Q25" s="218" t="str">
        <f>IF(受講者登録表!J22="●",RIGHT("0"&amp;ROW(P25)-17,2),"")</f>
        <v/>
      </c>
      <c r="R25" s="218" t="str">
        <f>IF(受講者登録表!K22="●",RIGHT("0"&amp;ROW(Q25)-17,2),"")</f>
        <v/>
      </c>
      <c r="S25" s="218" t="str">
        <f>IF(受講者登録表!L22="●",RIGHT("0"&amp;ROW(R25)-17,2),"")</f>
        <v/>
      </c>
      <c r="T25" s="218" t="str">
        <f>IF(受講者登録表!M22="●",RIGHT("0"&amp;ROW(S25)-17,2),"")</f>
        <v/>
      </c>
      <c r="U25" s="218" t="str">
        <f>IF(受講者登録表!N22="●",RIGHT("0"&amp;ROW(T25)-17,2),"")</f>
        <v/>
      </c>
      <c r="V25" s="218" t="str">
        <f>IF(受講者登録表!O22="●",RIGHT("0"&amp;ROW(U25)-17,2),"")</f>
        <v/>
      </c>
      <c r="W25" s="218" t="str">
        <f>IF(受講者登録表!P22="●",RIGHT("0"&amp;ROW(V25)-17,2),"")</f>
        <v/>
      </c>
      <c r="X25" s="218" t="str">
        <f>IF(受講者登録表!Q22="●",RIGHT("0"&amp;ROW(W25)-17,2),"")</f>
        <v/>
      </c>
    </row>
    <row r="26" spans="1:24">
      <c r="A26" s="211">
        <f t="shared" si="5"/>
        <v>25</v>
      </c>
      <c r="B26" s="212">
        <f t="shared" si="10"/>
        <v>25</v>
      </c>
      <c r="C26" s="213" t="str">
        <f t="shared" si="0"/>
        <v/>
      </c>
      <c r="D26" s="134" t="str">
        <f t="shared" ca="1" si="1"/>
        <v/>
      </c>
      <c r="E26" s="214" t="str">
        <f>IF($B26&lt;=$N$14,申込書!$F$16,"")</f>
        <v/>
      </c>
      <c r="F26" s="214" t="str">
        <f t="shared" si="2"/>
        <v/>
      </c>
      <c r="G26" s="214"/>
      <c r="H26" s="240" t="str">
        <f t="shared" ca="1" si="3"/>
        <v/>
      </c>
      <c r="I26" s="224">
        <f t="shared" si="11"/>
        <v>0</v>
      </c>
      <c r="J26" s="222">
        <f t="shared" si="12"/>
        <v>0</v>
      </c>
      <c r="K26" s="228">
        <f>受講者登録表!S23</f>
        <v>0</v>
      </c>
      <c r="L26" s="221" t="str">
        <f>IF(ユーザー登録!A10&lt;&gt;"",ユーザー登録!A10,"")</f>
        <v/>
      </c>
      <c r="M26" s="218" t="str">
        <f>IF(受講者登録表!F23="●",RIGHT("0"&amp;ROW(L26)-17,2),"")</f>
        <v/>
      </c>
      <c r="N26" s="218" t="str">
        <f>IF(受講者登録表!G23="●",RIGHT("0"&amp;ROW(M26)-17,2),"")</f>
        <v/>
      </c>
      <c r="O26" s="218" t="str">
        <f>IF(受講者登録表!H23="●",RIGHT("0"&amp;ROW(N26)-17,2),"")</f>
        <v/>
      </c>
      <c r="P26" s="218" t="str">
        <f>IF(受講者登録表!I23="●",RIGHT("0"&amp;ROW(O26)-17,2),"")</f>
        <v/>
      </c>
      <c r="Q26" s="218" t="str">
        <f>IF(受講者登録表!J23="●",RIGHT("0"&amp;ROW(P26)-17,2),"")</f>
        <v/>
      </c>
      <c r="R26" s="218" t="str">
        <f>IF(受講者登録表!K23="●",RIGHT("0"&amp;ROW(Q26)-17,2),"")</f>
        <v/>
      </c>
      <c r="S26" s="218" t="str">
        <f>IF(受講者登録表!L23="●",RIGHT("0"&amp;ROW(R26)-17,2),"")</f>
        <v/>
      </c>
      <c r="T26" s="218" t="str">
        <f>IF(受講者登録表!M23="●",RIGHT("0"&amp;ROW(S26)-17,2),"")</f>
        <v/>
      </c>
      <c r="U26" s="218" t="str">
        <f>IF(受講者登録表!N23="●",RIGHT("0"&amp;ROW(T26)-17,2),"")</f>
        <v/>
      </c>
      <c r="V26" s="218" t="str">
        <f>IF(受講者登録表!O23="●",RIGHT("0"&amp;ROW(U26)-17,2),"")</f>
        <v/>
      </c>
      <c r="W26" s="218" t="str">
        <f>IF(受講者登録表!P23="●",RIGHT("0"&amp;ROW(V26)-17,2),"")</f>
        <v/>
      </c>
      <c r="X26" s="218" t="str">
        <f>IF(受講者登録表!Q23="●",RIGHT("0"&amp;ROW(W26)-17,2),"")</f>
        <v/>
      </c>
    </row>
    <row r="27" spans="1:24">
      <c r="A27" s="211">
        <f t="shared" si="5"/>
        <v>26</v>
      </c>
      <c r="B27" s="212">
        <f t="shared" si="10"/>
        <v>26</v>
      </c>
      <c r="C27" s="213" t="str">
        <f t="shared" si="0"/>
        <v/>
      </c>
      <c r="D27" s="134" t="str">
        <f t="shared" ca="1" si="1"/>
        <v/>
      </c>
      <c r="E27" s="214" t="str">
        <f>IF($B27&lt;=$N$14,申込書!$F$16,"")</f>
        <v/>
      </c>
      <c r="F27" s="214" t="str">
        <f t="shared" si="2"/>
        <v/>
      </c>
      <c r="G27" s="214"/>
      <c r="H27" s="240" t="str">
        <f t="shared" ca="1" si="3"/>
        <v/>
      </c>
      <c r="I27" s="224">
        <f t="shared" si="11"/>
        <v>0</v>
      </c>
      <c r="J27" s="222">
        <f t="shared" si="12"/>
        <v>0</v>
      </c>
      <c r="K27" s="228">
        <f>受講者登録表!S24</f>
        <v>0</v>
      </c>
      <c r="L27" s="221" t="str">
        <f>IF(ユーザー登録!A11&lt;&gt;"",ユーザー登録!A11,"")</f>
        <v/>
      </c>
      <c r="M27" s="218" t="str">
        <f>IF(受講者登録表!F24="●",RIGHT("0"&amp;ROW(L27)-17,2),"")</f>
        <v/>
      </c>
      <c r="N27" s="218" t="str">
        <f>IF(受講者登録表!G24="●",RIGHT("0"&amp;ROW(M27)-17,2),"")</f>
        <v/>
      </c>
      <c r="O27" s="218" t="str">
        <f>IF(受講者登録表!H24="●",RIGHT("0"&amp;ROW(N27)-17,2),"")</f>
        <v/>
      </c>
      <c r="P27" s="218" t="str">
        <f>IF(受講者登録表!I24="●",RIGHT("0"&amp;ROW(O27)-17,2),"")</f>
        <v/>
      </c>
      <c r="Q27" s="218" t="str">
        <f>IF(受講者登録表!J24="●",RIGHT("0"&amp;ROW(P27)-17,2),"")</f>
        <v/>
      </c>
      <c r="R27" s="218" t="str">
        <f>IF(受講者登録表!K24="●",RIGHT("0"&amp;ROW(Q27)-17,2),"")</f>
        <v/>
      </c>
      <c r="S27" s="218" t="str">
        <f>IF(受講者登録表!L24="●",RIGHT("0"&amp;ROW(R27)-17,2),"")</f>
        <v/>
      </c>
      <c r="T27" s="218" t="str">
        <f>IF(受講者登録表!M24="●",RIGHT("0"&amp;ROW(S27)-17,2),"")</f>
        <v/>
      </c>
      <c r="U27" s="218" t="str">
        <f>IF(受講者登録表!N24="●",RIGHT("0"&amp;ROW(T27)-17,2),"")</f>
        <v/>
      </c>
      <c r="V27" s="218" t="str">
        <f>IF(受講者登録表!O24="●",RIGHT("0"&amp;ROW(U27)-17,2),"")</f>
        <v/>
      </c>
      <c r="W27" s="218" t="str">
        <f>IF(受講者登録表!P24="●",RIGHT("0"&amp;ROW(V27)-17,2),"")</f>
        <v/>
      </c>
      <c r="X27" s="218" t="str">
        <f>IF(受講者登録表!Q24="●",RIGHT("0"&amp;ROW(W27)-17,2),"")</f>
        <v/>
      </c>
    </row>
    <row r="28" spans="1:24">
      <c r="A28" s="211">
        <f t="shared" si="5"/>
        <v>27</v>
      </c>
      <c r="B28" s="212">
        <f t="shared" si="10"/>
        <v>27</v>
      </c>
      <c r="C28" s="213" t="str">
        <f t="shared" si="0"/>
        <v/>
      </c>
      <c r="D28" s="134" t="str">
        <f t="shared" ca="1" si="1"/>
        <v/>
      </c>
      <c r="E28" s="214" t="str">
        <f>IF($B28&lt;=$N$14,申込書!$F$16,"")</f>
        <v/>
      </c>
      <c r="F28" s="214" t="str">
        <f t="shared" si="2"/>
        <v/>
      </c>
      <c r="G28" s="214"/>
      <c r="H28" s="240" t="str">
        <f t="shared" ca="1" si="3"/>
        <v/>
      </c>
      <c r="I28" s="224">
        <f t="shared" si="11"/>
        <v>0</v>
      </c>
      <c r="J28" s="222">
        <f t="shared" si="12"/>
        <v>0</v>
      </c>
      <c r="K28" s="228">
        <f>受講者登録表!S25</f>
        <v>0</v>
      </c>
      <c r="L28" s="221" t="str">
        <f>IF(ユーザー登録!A12&lt;&gt;"",ユーザー登録!A12,"")</f>
        <v/>
      </c>
      <c r="M28" s="218" t="str">
        <f>IF(受講者登録表!F25="●",RIGHT("0"&amp;ROW(L28)-17,2),"")</f>
        <v/>
      </c>
      <c r="N28" s="218" t="str">
        <f>IF(受講者登録表!G25="●",RIGHT("0"&amp;ROW(M28)-17,2),"")</f>
        <v/>
      </c>
      <c r="O28" s="218" t="str">
        <f>IF(受講者登録表!H25="●",RIGHT("0"&amp;ROW(N28)-17,2),"")</f>
        <v/>
      </c>
      <c r="P28" s="218" t="str">
        <f>IF(受講者登録表!I25="●",RIGHT("0"&amp;ROW(O28)-17,2),"")</f>
        <v/>
      </c>
      <c r="Q28" s="218" t="str">
        <f>IF(受講者登録表!J25="●",RIGHT("0"&amp;ROW(P28)-17,2),"")</f>
        <v/>
      </c>
      <c r="R28" s="218" t="str">
        <f>IF(受講者登録表!K25="●",RIGHT("0"&amp;ROW(Q28)-17,2),"")</f>
        <v/>
      </c>
      <c r="S28" s="218" t="str">
        <f>IF(受講者登録表!L25="●",RIGHT("0"&amp;ROW(R28)-17,2),"")</f>
        <v/>
      </c>
      <c r="T28" s="218" t="str">
        <f>IF(受講者登録表!M25="●",RIGHT("0"&amp;ROW(S28)-17,2),"")</f>
        <v/>
      </c>
      <c r="U28" s="218" t="str">
        <f>IF(受講者登録表!N25="●",RIGHT("0"&amp;ROW(T28)-17,2),"")</f>
        <v/>
      </c>
      <c r="V28" s="218" t="str">
        <f>IF(受講者登録表!O25="●",RIGHT("0"&amp;ROW(U28)-17,2),"")</f>
        <v/>
      </c>
      <c r="W28" s="218" t="str">
        <f>IF(受講者登録表!P25="●",RIGHT("0"&amp;ROW(V28)-17,2),"")</f>
        <v/>
      </c>
      <c r="X28" s="218" t="str">
        <f>IF(受講者登録表!Q25="●",RIGHT("0"&amp;ROW(W28)-17,2),"")</f>
        <v/>
      </c>
    </row>
    <row r="29" spans="1:24">
      <c r="A29" s="211">
        <f t="shared" si="5"/>
        <v>28</v>
      </c>
      <c r="B29" s="212">
        <f t="shared" si="10"/>
        <v>28</v>
      </c>
      <c r="C29" s="213" t="str">
        <f t="shared" si="0"/>
        <v/>
      </c>
      <c r="D29" s="134" t="str">
        <f t="shared" ca="1" si="1"/>
        <v/>
      </c>
      <c r="E29" s="214" t="str">
        <f>IF($B29&lt;=$N$14,申込書!$F$16,"")</f>
        <v/>
      </c>
      <c r="F29" s="214" t="str">
        <f t="shared" si="2"/>
        <v/>
      </c>
      <c r="G29" s="214"/>
      <c r="H29" s="240" t="str">
        <f t="shared" ca="1" si="3"/>
        <v/>
      </c>
      <c r="I29" s="224">
        <f t="shared" si="11"/>
        <v>0</v>
      </c>
      <c r="J29" s="222">
        <f t="shared" si="12"/>
        <v>0</v>
      </c>
      <c r="K29" s="228">
        <f>受講者登録表!S26</f>
        <v>0</v>
      </c>
      <c r="L29" s="221" t="str">
        <f>IF(ユーザー登録!A13&lt;&gt;"",ユーザー登録!A13,"")</f>
        <v/>
      </c>
      <c r="M29" s="218" t="str">
        <f>IF(受講者登録表!F26="●",RIGHT("0"&amp;ROW(L29)-17,2),"")</f>
        <v/>
      </c>
      <c r="N29" s="218" t="str">
        <f>IF(受講者登録表!G26="●",RIGHT("0"&amp;ROW(M29)-17,2),"")</f>
        <v/>
      </c>
      <c r="O29" s="218" t="str">
        <f>IF(受講者登録表!H26="●",RIGHT("0"&amp;ROW(N29)-17,2),"")</f>
        <v/>
      </c>
      <c r="P29" s="218" t="str">
        <f>IF(受講者登録表!I26="●",RIGHT("0"&amp;ROW(O29)-17,2),"")</f>
        <v/>
      </c>
      <c r="Q29" s="218" t="str">
        <f>IF(受講者登録表!J26="●",RIGHT("0"&amp;ROW(P29)-17,2),"")</f>
        <v/>
      </c>
      <c r="R29" s="218" t="str">
        <f>IF(受講者登録表!K26="●",RIGHT("0"&amp;ROW(Q29)-17,2),"")</f>
        <v/>
      </c>
      <c r="S29" s="218" t="str">
        <f>IF(受講者登録表!L26="●",RIGHT("0"&amp;ROW(R29)-17,2),"")</f>
        <v/>
      </c>
      <c r="T29" s="218" t="str">
        <f>IF(受講者登録表!M26="●",RIGHT("0"&amp;ROW(S29)-17,2),"")</f>
        <v/>
      </c>
      <c r="U29" s="218" t="str">
        <f>IF(受講者登録表!N26="●",RIGHT("0"&amp;ROW(T29)-17,2),"")</f>
        <v/>
      </c>
      <c r="V29" s="218" t="str">
        <f>IF(受講者登録表!O26="●",RIGHT("0"&amp;ROW(U29)-17,2),"")</f>
        <v/>
      </c>
      <c r="W29" s="218" t="str">
        <f>IF(受講者登録表!P26="●",RIGHT("0"&amp;ROW(V29)-17,2),"")</f>
        <v/>
      </c>
      <c r="X29" s="218" t="str">
        <f>IF(受講者登録表!Q26="●",RIGHT("0"&amp;ROW(W29)-17,2),"")</f>
        <v/>
      </c>
    </row>
    <row r="30" spans="1:24">
      <c r="A30" s="211">
        <f t="shared" si="5"/>
        <v>29</v>
      </c>
      <c r="B30" s="212">
        <f t="shared" si="10"/>
        <v>29</v>
      </c>
      <c r="C30" s="213" t="str">
        <f t="shared" si="0"/>
        <v/>
      </c>
      <c r="D30" s="134" t="str">
        <f t="shared" ca="1" si="1"/>
        <v/>
      </c>
      <c r="E30" s="214" t="str">
        <f>IF($B30&lt;=$N$14,申込書!$F$16,"")</f>
        <v/>
      </c>
      <c r="F30" s="214" t="str">
        <f t="shared" si="2"/>
        <v/>
      </c>
      <c r="G30" s="214"/>
      <c r="H30" s="240" t="str">
        <f t="shared" ca="1" si="3"/>
        <v/>
      </c>
      <c r="I30" s="224">
        <f t="shared" si="11"/>
        <v>0</v>
      </c>
      <c r="J30" s="222">
        <f t="shared" si="12"/>
        <v>0</v>
      </c>
      <c r="K30" s="228">
        <f>受講者登録表!S27</f>
        <v>0</v>
      </c>
      <c r="L30" s="221" t="str">
        <f>IF(ユーザー登録!A14&lt;&gt;"",ユーザー登録!A14,"")</f>
        <v/>
      </c>
      <c r="M30" s="218" t="str">
        <f>IF(受講者登録表!F27="●",RIGHT("0"&amp;ROW(L30)-17,2),"")</f>
        <v/>
      </c>
      <c r="N30" s="218" t="str">
        <f>IF(受講者登録表!G27="●",RIGHT("0"&amp;ROW(M30)-17,2),"")</f>
        <v/>
      </c>
      <c r="O30" s="218" t="str">
        <f>IF(受講者登録表!H27="●",RIGHT("0"&amp;ROW(N30)-17,2),"")</f>
        <v/>
      </c>
      <c r="P30" s="218" t="str">
        <f>IF(受講者登録表!I27="●",RIGHT("0"&amp;ROW(O30)-17,2),"")</f>
        <v/>
      </c>
      <c r="Q30" s="218" t="str">
        <f>IF(受講者登録表!J27="●",RIGHT("0"&amp;ROW(P30)-17,2),"")</f>
        <v/>
      </c>
      <c r="R30" s="218" t="str">
        <f>IF(受講者登録表!K27="●",RIGHT("0"&amp;ROW(Q30)-17,2),"")</f>
        <v/>
      </c>
      <c r="S30" s="218" t="str">
        <f>IF(受講者登録表!L27="●",RIGHT("0"&amp;ROW(R30)-17,2),"")</f>
        <v/>
      </c>
      <c r="T30" s="218" t="str">
        <f>IF(受講者登録表!M27="●",RIGHT("0"&amp;ROW(S30)-17,2),"")</f>
        <v/>
      </c>
      <c r="U30" s="218" t="str">
        <f>IF(受講者登録表!N27="●",RIGHT("0"&amp;ROW(T30)-17,2),"")</f>
        <v/>
      </c>
      <c r="V30" s="218" t="str">
        <f>IF(受講者登録表!O27="●",RIGHT("0"&amp;ROW(U30)-17,2),"")</f>
        <v/>
      </c>
      <c r="W30" s="218" t="str">
        <f>IF(受講者登録表!P27="●",RIGHT("0"&amp;ROW(V30)-17,2),"")</f>
        <v/>
      </c>
      <c r="X30" s="218" t="str">
        <f>IF(受講者登録表!Q27="●",RIGHT("0"&amp;ROW(W30)-17,2),"")</f>
        <v/>
      </c>
    </row>
    <row r="31" spans="1:24">
      <c r="A31" s="211">
        <f t="shared" si="5"/>
        <v>30</v>
      </c>
      <c r="B31" s="212">
        <f t="shared" si="10"/>
        <v>30</v>
      </c>
      <c r="C31" s="213" t="str">
        <f t="shared" si="0"/>
        <v/>
      </c>
      <c r="D31" s="134" t="str">
        <f t="shared" ca="1" si="1"/>
        <v/>
      </c>
      <c r="E31" s="214" t="str">
        <f>IF($B31&lt;=$N$14,申込書!$F$16,"")</f>
        <v/>
      </c>
      <c r="F31" s="214" t="str">
        <f t="shared" si="2"/>
        <v/>
      </c>
      <c r="G31" s="214"/>
      <c r="H31" s="240" t="str">
        <f t="shared" ca="1" si="3"/>
        <v/>
      </c>
      <c r="I31" s="224">
        <f t="shared" si="11"/>
        <v>0</v>
      </c>
      <c r="J31" s="222">
        <f t="shared" si="12"/>
        <v>0</v>
      </c>
      <c r="K31" s="228">
        <f>受講者登録表!S28</f>
        <v>0</v>
      </c>
      <c r="L31" s="221" t="str">
        <f>IF(ユーザー登録!A15&lt;&gt;"",ユーザー登録!A15,"")</f>
        <v/>
      </c>
      <c r="M31" s="218" t="str">
        <f>IF(受講者登録表!F28="●",RIGHT("0"&amp;ROW(L31)-17,2),"")</f>
        <v/>
      </c>
      <c r="N31" s="218" t="str">
        <f>IF(受講者登録表!G28="●",RIGHT("0"&amp;ROW(M31)-17,2),"")</f>
        <v/>
      </c>
      <c r="O31" s="218" t="str">
        <f>IF(受講者登録表!H28="●",RIGHT("0"&amp;ROW(N31)-17,2),"")</f>
        <v/>
      </c>
      <c r="P31" s="218" t="str">
        <f>IF(受講者登録表!I28="●",RIGHT("0"&amp;ROW(O31)-17,2),"")</f>
        <v/>
      </c>
      <c r="Q31" s="218" t="str">
        <f>IF(受講者登録表!J28="●",RIGHT("0"&amp;ROW(P31)-17,2),"")</f>
        <v/>
      </c>
      <c r="R31" s="218" t="str">
        <f>IF(受講者登録表!K28="●",RIGHT("0"&amp;ROW(Q31)-17,2),"")</f>
        <v/>
      </c>
      <c r="S31" s="218" t="str">
        <f>IF(受講者登録表!L28="●",RIGHT("0"&amp;ROW(R31)-17,2),"")</f>
        <v/>
      </c>
      <c r="T31" s="218" t="str">
        <f>IF(受講者登録表!M28="●",RIGHT("0"&amp;ROW(S31)-17,2),"")</f>
        <v/>
      </c>
      <c r="U31" s="218" t="str">
        <f>IF(受講者登録表!N28="●",RIGHT("0"&amp;ROW(T31)-17,2),"")</f>
        <v/>
      </c>
      <c r="V31" s="218" t="str">
        <f>IF(受講者登録表!O28="●",RIGHT("0"&amp;ROW(U31)-17,2),"")</f>
        <v/>
      </c>
      <c r="W31" s="218" t="str">
        <f>IF(受講者登録表!P28="●",RIGHT("0"&amp;ROW(V31)-17,2),"")</f>
        <v/>
      </c>
      <c r="X31" s="218" t="str">
        <f>IF(受講者登録表!Q28="●",RIGHT("0"&amp;ROW(W31)-17,2),"")</f>
        <v/>
      </c>
    </row>
    <row r="32" spans="1:24">
      <c r="A32" s="211">
        <f t="shared" si="5"/>
        <v>31</v>
      </c>
      <c r="B32" s="212">
        <f t="shared" si="10"/>
        <v>31</v>
      </c>
      <c r="C32" s="213" t="str">
        <f t="shared" si="0"/>
        <v/>
      </c>
      <c r="D32" s="134" t="str">
        <f t="shared" ca="1" si="1"/>
        <v/>
      </c>
      <c r="E32" s="214" t="str">
        <f>IF($B32&lt;=$N$14,申込書!$F$16,"")</f>
        <v/>
      </c>
      <c r="F32" s="214" t="str">
        <f t="shared" si="2"/>
        <v/>
      </c>
      <c r="G32" s="214"/>
      <c r="H32" s="240" t="str">
        <f t="shared" ca="1" si="3"/>
        <v/>
      </c>
      <c r="I32" s="224">
        <f t="shared" si="11"/>
        <v>0</v>
      </c>
      <c r="J32" s="222">
        <f t="shared" si="12"/>
        <v>0</v>
      </c>
      <c r="K32" s="228">
        <f>受講者登録表!S29</f>
        <v>0</v>
      </c>
      <c r="L32" s="221" t="str">
        <f>IF(ユーザー登録!A16&lt;&gt;"",ユーザー登録!A16,"")</f>
        <v/>
      </c>
      <c r="M32" s="218" t="str">
        <f>IF(受講者登録表!F29="●",RIGHT("0"&amp;ROW(L32)-17,2),"")</f>
        <v/>
      </c>
      <c r="N32" s="218" t="str">
        <f>IF(受講者登録表!G29="●",RIGHT("0"&amp;ROW(M32)-17,2),"")</f>
        <v/>
      </c>
      <c r="O32" s="218" t="str">
        <f>IF(受講者登録表!H29="●",RIGHT("0"&amp;ROW(N32)-17,2),"")</f>
        <v/>
      </c>
      <c r="P32" s="218" t="str">
        <f>IF(受講者登録表!I29="●",RIGHT("0"&amp;ROW(O32)-17,2),"")</f>
        <v/>
      </c>
      <c r="Q32" s="218" t="str">
        <f>IF(受講者登録表!J29="●",RIGHT("0"&amp;ROW(P32)-17,2),"")</f>
        <v/>
      </c>
      <c r="R32" s="218" t="str">
        <f>IF(受講者登録表!K29="●",RIGHT("0"&amp;ROW(Q32)-17,2),"")</f>
        <v/>
      </c>
      <c r="S32" s="218" t="str">
        <f>IF(受講者登録表!L29="●",RIGHT("0"&amp;ROW(R32)-17,2),"")</f>
        <v/>
      </c>
      <c r="T32" s="218" t="str">
        <f>IF(受講者登録表!M29="●",RIGHT("0"&amp;ROW(S32)-17,2),"")</f>
        <v/>
      </c>
      <c r="U32" s="218" t="str">
        <f>IF(受講者登録表!N29="●",RIGHT("0"&amp;ROW(T32)-17,2),"")</f>
        <v/>
      </c>
      <c r="V32" s="218" t="str">
        <f>IF(受講者登録表!O29="●",RIGHT("0"&amp;ROW(U32)-17,2),"")</f>
        <v/>
      </c>
      <c r="W32" s="218" t="str">
        <f>IF(受講者登録表!P29="●",RIGHT("0"&amp;ROW(V32)-17,2),"")</f>
        <v/>
      </c>
      <c r="X32" s="218" t="str">
        <f>IF(受講者登録表!Q29="●",RIGHT("0"&amp;ROW(W32)-17,2),"")</f>
        <v/>
      </c>
    </row>
    <row r="33" spans="1:24">
      <c r="A33" s="211">
        <f t="shared" si="5"/>
        <v>32</v>
      </c>
      <c r="B33" s="212">
        <f t="shared" si="10"/>
        <v>32</v>
      </c>
      <c r="C33" s="213" t="str">
        <f t="shared" si="0"/>
        <v/>
      </c>
      <c r="D33" s="134" t="str">
        <f t="shared" ca="1" si="1"/>
        <v/>
      </c>
      <c r="E33" s="214" t="str">
        <f>IF($B33&lt;=$N$14,申込書!$F$16,"")</f>
        <v/>
      </c>
      <c r="F33" s="214" t="str">
        <f t="shared" si="2"/>
        <v/>
      </c>
      <c r="G33" s="214"/>
      <c r="H33" s="240" t="str">
        <f t="shared" ca="1" si="3"/>
        <v/>
      </c>
      <c r="I33" s="224">
        <f t="shared" si="11"/>
        <v>0</v>
      </c>
      <c r="J33" s="222">
        <f t="shared" si="12"/>
        <v>0</v>
      </c>
      <c r="K33" s="228">
        <f>受講者登録表!S30</f>
        <v>0</v>
      </c>
      <c r="L33" s="221" t="str">
        <f>IF(ユーザー登録!A17&lt;&gt;"",ユーザー登録!A17,"")</f>
        <v/>
      </c>
      <c r="M33" s="218" t="str">
        <f>IF(受講者登録表!F30="●",RIGHT("0"&amp;ROW(L33)-17,2),"")</f>
        <v/>
      </c>
      <c r="N33" s="218" t="str">
        <f>IF(受講者登録表!G30="●",RIGHT("0"&amp;ROW(M33)-17,2),"")</f>
        <v/>
      </c>
      <c r="O33" s="218" t="str">
        <f>IF(受講者登録表!H30="●",RIGHT("0"&amp;ROW(N33)-17,2),"")</f>
        <v/>
      </c>
      <c r="P33" s="218" t="str">
        <f>IF(受講者登録表!I30="●",RIGHT("0"&amp;ROW(O33)-17,2),"")</f>
        <v/>
      </c>
      <c r="Q33" s="218" t="str">
        <f>IF(受講者登録表!J30="●",RIGHT("0"&amp;ROW(P33)-17,2),"")</f>
        <v/>
      </c>
      <c r="R33" s="218" t="str">
        <f>IF(受講者登録表!K30="●",RIGHT("0"&amp;ROW(Q33)-17,2),"")</f>
        <v/>
      </c>
      <c r="S33" s="218" t="str">
        <f>IF(受講者登録表!L30="●",RIGHT("0"&amp;ROW(R33)-17,2),"")</f>
        <v/>
      </c>
      <c r="T33" s="218" t="str">
        <f>IF(受講者登録表!M30="●",RIGHT("0"&amp;ROW(S33)-17,2),"")</f>
        <v/>
      </c>
      <c r="U33" s="218" t="str">
        <f>IF(受講者登録表!N30="●",RIGHT("0"&amp;ROW(T33)-17,2),"")</f>
        <v/>
      </c>
      <c r="V33" s="218" t="str">
        <f>IF(受講者登録表!O30="●",RIGHT("0"&amp;ROW(U33)-17,2),"")</f>
        <v/>
      </c>
      <c r="W33" s="218" t="str">
        <f>IF(受講者登録表!P30="●",RIGHT("0"&amp;ROW(V33)-17,2),"")</f>
        <v/>
      </c>
      <c r="X33" s="218" t="str">
        <f>IF(受講者登録表!Q30="●",RIGHT("0"&amp;ROW(W33)-17,2),"")</f>
        <v/>
      </c>
    </row>
    <row r="34" spans="1:24">
      <c r="A34" s="211">
        <f t="shared" si="5"/>
        <v>33</v>
      </c>
      <c r="B34" s="212">
        <f t="shared" si="10"/>
        <v>33</v>
      </c>
      <c r="C34" s="213" t="str">
        <f t="shared" si="0"/>
        <v/>
      </c>
      <c r="D34" s="134" t="str">
        <f t="shared" ca="1" si="1"/>
        <v/>
      </c>
      <c r="E34" s="214" t="str">
        <f>IF($B34&lt;=$N$14,申込書!$F$16,"")</f>
        <v/>
      </c>
      <c r="F34" s="214" t="str">
        <f t="shared" si="2"/>
        <v/>
      </c>
      <c r="G34" s="214"/>
      <c r="H34" s="240" t="str">
        <f t="shared" ca="1" si="3"/>
        <v/>
      </c>
      <c r="I34" s="224">
        <f t="shared" si="11"/>
        <v>0</v>
      </c>
      <c r="J34" s="222">
        <f t="shared" si="12"/>
        <v>0</v>
      </c>
      <c r="K34" s="228">
        <f>受講者登録表!S31</f>
        <v>0</v>
      </c>
      <c r="L34" s="221" t="str">
        <f>IF(ユーザー登録!A18&lt;&gt;"",ユーザー登録!A18,"")</f>
        <v/>
      </c>
      <c r="M34" s="218" t="str">
        <f>IF(受講者登録表!F31="●",RIGHT("0"&amp;ROW(L34)-17,2),"")</f>
        <v/>
      </c>
      <c r="N34" s="218" t="str">
        <f>IF(受講者登録表!G31="●",RIGHT("0"&amp;ROW(M34)-17,2),"")</f>
        <v/>
      </c>
      <c r="O34" s="218" t="str">
        <f>IF(受講者登録表!H31="●",RIGHT("0"&amp;ROW(N34)-17,2),"")</f>
        <v/>
      </c>
      <c r="P34" s="218" t="str">
        <f>IF(受講者登録表!I31="●",RIGHT("0"&amp;ROW(O34)-17,2),"")</f>
        <v/>
      </c>
      <c r="Q34" s="218" t="str">
        <f>IF(受講者登録表!J31="●",RIGHT("0"&amp;ROW(P34)-17,2),"")</f>
        <v/>
      </c>
      <c r="R34" s="218" t="str">
        <f>IF(受講者登録表!K31="●",RIGHT("0"&amp;ROW(Q34)-17,2),"")</f>
        <v/>
      </c>
      <c r="S34" s="218" t="str">
        <f>IF(受講者登録表!L31="●",RIGHT("0"&amp;ROW(R34)-17,2),"")</f>
        <v/>
      </c>
      <c r="T34" s="218" t="str">
        <f>IF(受講者登録表!M31="●",RIGHT("0"&amp;ROW(S34)-17,2),"")</f>
        <v/>
      </c>
      <c r="U34" s="218" t="str">
        <f>IF(受講者登録表!N31="●",RIGHT("0"&amp;ROW(T34)-17,2),"")</f>
        <v/>
      </c>
      <c r="V34" s="218" t="str">
        <f>IF(受講者登録表!O31="●",RIGHT("0"&amp;ROW(U34)-17,2),"")</f>
        <v/>
      </c>
      <c r="W34" s="218" t="str">
        <f>IF(受講者登録表!P31="●",RIGHT("0"&amp;ROW(V34)-17,2),"")</f>
        <v/>
      </c>
      <c r="X34" s="218" t="str">
        <f>IF(受講者登録表!Q31="●",RIGHT("0"&amp;ROW(W34)-17,2),"")</f>
        <v/>
      </c>
    </row>
    <row r="35" spans="1:24">
      <c r="A35" s="211">
        <f t="shared" si="5"/>
        <v>34</v>
      </c>
      <c r="B35" s="212">
        <f t="shared" si="10"/>
        <v>34</v>
      </c>
      <c r="C35" s="213" t="str">
        <f t="shared" si="0"/>
        <v/>
      </c>
      <c r="D35" s="134" t="str">
        <f t="shared" ca="1" si="1"/>
        <v/>
      </c>
      <c r="E35" s="214" t="str">
        <f>IF($B35&lt;=$N$14,申込書!$F$16,"")</f>
        <v/>
      </c>
      <c r="F35" s="214" t="str">
        <f t="shared" si="2"/>
        <v/>
      </c>
      <c r="G35" s="214"/>
      <c r="H35" s="240" t="str">
        <f t="shared" ca="1" si="3"/>
        <v/>
      </c>
      <c r="I35" s="224">
        <f t="shared" si="11"/>
        <v>0</v>
      </c>
      <c r="J35" s="222">
        <f t="shared" si="12"/>
        <v>0</v>
      </c>
      <c r="K35" s="228">
        <f>受講者登録表!S32</f>
        <v>0</v>
      </c>
      <c r="L35" s="221" t="str">
        <f>IF(ユーザー登録!A19&lt;&gt;"",ユーザー登録!A19,"")</f>
        <v/>
      </c>
      <c r="M35" s="218" t="str">
        <f>IF(受講者登録表!F32="●",RIGHT("0"&amp;ROW(L35)-17,2),"")</f>
        <v/>
      </c>
      <c r="N35" s="218" t="str">
        <f>IF(受講者登録表!G32="●",RIGHT("0"&amp;ROW(M35)-17,2),"")</f>
        <v/>
      </c>
      <c r="O35" s="218" t="str">
        <f>IF(受講者登録表!H32="●",RIGHT("0"&amp;ROW(N35)-17,2),"")</f>
        <v/>
      </c>
      <c r="P35" s="218" t="str">
        <f>IF(受講者登録表!I32="●",RIGHT("0"&amp;ROW(O35)-17,2),"")</f>
        <v/>
      </c>
      <c r="Q35" s="218" t="str">
        <f>IF(受講者登録表!J32="●",RIGHT("0"&amp;ROW(P35)-17,2),"")</f>
        <v/>
      </c>
      <c r="R35" s="218" t="str">
        <f>IF(受講者登録表!K32="●",RIGHT("0"&amp;ROW(Q35)-17,2),"")</f>
        <v/>
      </c>
      <c r="S35" s="218" t="str">
        <f>IF(受講者登録表!L32="●",RIGHT("0"&amp;ROW(R35)-17,2),"")</f>
        <v/>
      </c>
      <c r="T35" s="218" t="str">
        <f>IF(受講者登録表!M32="●",RIGHT("0"&amp;ROW(S35)-17,2),"")</f>
        <v/>
      </c>
      <c r="U35" s="218" t="str">
        <f>IF(受講者登録表!N32="●",RIGHT("0"&amp;ROW(T35)-17,2),"")</f>
        <v/>
      </c>
      <c r="V35" s="218" t="str">
        <f>IF(受講者登録表!O32="●",RIGHT("0"&amp;ROW(U35)-17,2),"")</f>
        <v/>
      </c>
      <c r="W35" s="218" t="str">
        <f>IF(受講者登録表!P32="●",RIGHT("0"&amp;ROW(V35)-17,2),"")</f>
        <v/>
      </c>
      <c r="X35" s="218" t="str">
        <f>IF(受講者登録表!Q32="●",RIGHT("0"&amp;ROW(W35)-17,2),"")</f>
        <v/>
      </c>
    </row>
    <row r="36" spans="1:24">
      <c r="A36" s="211">
        <f t="shared" si="5"/>
        <v>35</v>
      </c>
      <c r="B36" s="212">
        <f t="shared" si="10"/>
        <v>35</v>
      </c>
      <c r="C36" s="213" t="str">
        <f t="shared" si="0"/>
        <v/>
      </c>
      <c r="D36" s="134" t="str">
        <f t="shared" ca="1" si="1"/>
        <v/>
      </c>
      <c r="E36" s="214" t="str">
        <f>IF($B36&lt;=$N$14,申込書!$F$16,"")</f>
        <v/>
      </c>
      <c r="F36" s="214" t="str">
        <f t="shared" si="2"/>
        <v/>
      </c>
      <c r="G36" s="214"/>
      <c r="H36" s="240" t="str">
        <f t="shared" ca="1" si="3"/>
        <v/>
      </c>
      <c r="I36" s="224">
        <f t="shared" si="11"/>
        <v>0</v>
      </c>
      <c r="J36" s="222">
        <f t="shared" si="12"/>
        <v>0</v>
      </c>
      <c r="K36" s="228">
        <f>受講者登録表!S33</f>
        <v>0</v>
      </c>
      <c r="L36" s="221" t="str">
        <f>IF(ユーザー登録!A20&lt;&gt;"",ユーザー登録!A20,"")</f>
        <v/>
      </c>
      <c r="M36" s="218" t="str">
        <f>IF(受講者登録表!F33="●",RIGHT("0"&amp;ROW(L36)-17,2),"")</f>
        <v/>
      </c>
      <c r="N36" s="218" t="str">
        <f>IF(受講者登録表!G33="●",RIGHT("0"&amp;ROW(M36)-17,2),"")</f>
        <v/>
      </c>
      <c r="O36" s="218" t="str">
        <f>IF(受講者登録表!H33="●",RIGHT("0"&amp;ROW(N36)-17,2),"")</f>
        <v/>
      </c>
      <c r="P36" s="218" t="str">
        <f>IF(受講者登録表!I33="●",RIGHT("0"&amp;ROW(O36)-17,2),"")</f>
        <v/>
      </c>
      <c r="Q36" s="218" t="str">
        <f>IF(受講者登録表!J33="●",RIGHT("0"&amp;ROW(P36)-17,2),"")</f>
        <v/>
      </c>
      <c r="R36" s="218" t="str">
        <f>IF(受講者登録表!K33="●",RIGHT("0"&amp;ROW(Q36)-17,2),"")</f>
        <v/>
      </c>
      <c r="S36" s="218" t="str">
        <f>IF(受講者登録表!L33="●",RIGHT("0"&amp;ROW(R36)-17,2),"")</f>
        <v/>
      </c>
      <c r="T36" s="218" t="str">
        <f>IF(受講者登録表!M33="●",RIGHT("0"&amp;ROW(S36)-17,2),"")</f>
        <v/>
      </c>
      <c r="U36" s="218" t="str">
        <f>IF(受講者登録表!N33="●",RIGHT("0"&amp;ROW(T36)-17,2),"")</f>
        <v/>
      </c>
      <c r="V36" s="218" t="str">
        <f>IF(受講者登録表!O33="●",RIGHT("0"&amp;ROW(U36)-17,2),"")</f>
        <v/>
      </c>
      <c r="W36" s="218" t="str">
        <f>IF(受講者登録表!P33="●",RIGHT("0"&amp;ROW(V36)-17,2),"")</f>
        <v/>
      </c>
      <c r="X36" s="218" t="str">
        <f>IF(受講者登録表!Q33="●",RIGHT("0"&amp;ROW(W36)-17,2),"")</f>
        <v/>
      </c>
    </row>
    <row r="37" spans="1:24">
      <c r="A37" s="211">
        <f t="shared" si="5"/>
        <v>36</v>
      </c>
      <c r="B37" s="212">
        <f t="shared" si="10"/>
        <v>36</v>
      </c>
      <c r="C37" s="213" t="str">
        <f t="shared" si="0"/>
        <v/>
      </c>
      <c r="D37" s="134" t="str">
        <f t="shared" ca="1" si="1"/>
        <v/>
      </c>
      <c r="E37" s="214" t="str">
        <f>IF($B37&lt;=$N$14,申込書!$F$16,"")</f>
        <v/>
      </c>
      <c r="F37" s="214" t="str">
        <f t="shared" si="2"/>
        <v/>
      </c>
      <c r="G37" s="214"/>
      <c r="H37" s="240" t="str">
        <f t="shared" ca="1" si="3"/>
        <v/>
      </c>
      <c r="I37" s="224">
        <f t="shared" si="11"/>
        <v>0</v>
      </c>
      <c r="J37" s="222">
        <f t="shared" si="12"/>
        <v>0</v>
      </c>
      <c r="K37" s="228">
        <f>受講者登録表!S34</f>
        <v>0</v>
      </c>
      <c r="L37" s="221" t="str">
        <f>IF(ユーザー登録!A21&lt;&gt;"",ユーザー登録!A21,"")</f>
        <v/>
      </c>
      <c r="M37" s="218" t="str">
        <f>IF(受講者登録表!F34="●",RIGHT("0"&amp;ROW(L37)-17,2),"")</f>
        <v/>
      </c>
      <c r="N37" s="218" t="str">
        <f>IF(受講者登録表!G34="●",RIGHT("0"&amp;ROW(M37)-17,2),"")</f>
        <v/>
      </c>
      <c r="O37" s="218" t="str">
        <f>IF(受講者登録表!H34="●",RIGHT("0"&amp;ROW(N37)-17,2),"")</f>
        <v/>
      </c>
      <c r="P37" s="218" t="str">
        <f>IF(受講者登録表!I34="●",RIGHT("0"&amp;ROW(O37)-17,2),"")</f>
        <v/>
      </c>
      <c r="Q37" s="218" t="str">
        <f>IF(受講者登録表!J34="●",RIGHT("0"&amp;ROW(P37)-17,2),"")</f>
        <v/>
      </c>
      <c r="R37" s="218" t="str">
        <f>IF(受講者登録表!K34="●",RIGHT("0"&amp;ROW(Q37)-17,2),"")</f>
        <v/>
      </c>
      <c r="S37" s="218" t="str">
        <f>IF(受講者登録表!L34="●",RIGHT("0"&amp;ROW(R37)-17,2),"")</f>
        <v/>
      </c>
      <c r="T37" s="218" t="str">
        <f>IF(受講者登録表!M34="●",RIGHT("0"&amp;ROW(S37)-17,2),"")</f>
        <v/>
      </c>
      <c r="U37" s="218" t="str">
        <f>IF(受講者登録表!N34="●",RIGHT("0"&amp;ROW(T37)-17,2),"")</f>
        <v/>
      </c>
      <c r="V37" s="218" t="str">
        <f>IF(受講者登録表!O34="●",RIGHT("0"&amp;ROW(U37)-17,2),"")</f>
        <v/>
      </c>
      <c r="W37" s="218" t="str">
        <f>IF(受講者登録表!P34="●",RIGHT("0"&amp;ROW(V37)-17,2),"")</f>
        <v/>
      </c>
      <c r="X37" s="218" t="str">
        <f>IF(受講者登録表!Q34="●",RIGHT("0"&amp;ROW(W37)-17,2),"")</f>
        <v/>
      </c>
    </row>
    <row r="38" spans="1:24">
      <c r="A38" s="211">
        <f t="shared" si="5"/>
        <v>37</v>
      </c>
      <c r="B38" s="212">
        <f t="shared" si="10"/>
        <v>37</v>
      </c>
      <c r="C38" s="213" t="str">
        <f t="shared" si="0"/>
        <v/>
      </c>
      <c r="D38" s="134" t="str">
        <f t="shared" ca="1" si="1"/>
        <v/>
      </c>
      <c r="E38" s="214" t="str">
        <f>IF($B38&lt;=$N$14,申込書!$F$16,"")</f>
        <v/>
      </c>
      <c r="F38" s="214" t="str">
        <f t="shared" si="2"/>
        <v/>
      </c>
      <c r="G38" s="214"/>
      <c r="H38" s="240" t="str">
        <f t="shared" ca="1" si="3"/>
        <v/>
      </c>
      <c r="I38" s="224">
        <f t="shared" si="11"/>
        <v>0</v>
      </c>
      <c r="J38" s="222">
        <f t="shared" si="12"/>
        <v>0</v>
      </c>
      <c r="K38" s="228">
        <f>受講者登録表!S35</f>
        <v>0</v>
      </c>
      <c r="L38" s="221" t="str">
        <f>IF(ユーザー登録!A22&lt;&gt;"",ユーザー登録!A22,"")</f>
        <v/>
      </c>
      <c r="M38" s="218" t="str">
        <f>IF(受講者登録表!F35="●",RIGHT("0"&amp;ROW(L38)-17,2),"")</f>
        <v/>
      </c>
      <c r="N38" s="218" t="str">
        <f>IF(受講者登録表!G35="●",RIGHT("0"&amp;ROW(M38)-17,2),"")</f>
        <v/>
      </c>
      <c r="O38" s="218" t="str">
        <f>IF(受講者登録表!H35="●",RIGHT("0"&amp;ROW(N38)-17,2),"")</f>
        <v/>
      </c>
      <c r="P38" s="218" t="str">
        <f>IF(受講者登録表!I35="●",RIGHT("0"&amp;ROW(O38)-17,2),"")</f>
        <v/>
      </c>
      <c r="Q38" s="218" t="str">
        <f>IF(受講者登録表!J35="●",RIGHT("0"&amp;ROW(P38)-17,2),"")</f>
        <v/>
      </c>
      <c r="R38" s="218" t="str">
        <f>IF(受講者登録表!K35="●",RIGHT("0"&amp;ROW(Q38)-17,2),"")</f>
        <v/>
      </c>
      <c r="S38" s="218" t="str">
        <f>IF(受講者登録表!L35="●",RIGHT("0"&amp;ROW(R38)-17,2),"")</f>
        <v/>
      </c>
      <c r="T38" s="218" t="str">
        <f>IF(受講者登録表!M35="●",RIGHT("0"&amp;ROW(S38)-17,2),"")</f>
        <v/>
      </c>
      <c r="U38" s="218" t="str">
        <f>IF(受講者登録表!N35="●",RIGHT("0"&amp;ROW(T38)-17,2),"")</f>
        <v/>
      </c>
      <c r="V38" s="218" t="str">
        <f>IF(受講者登録表!O35="●",RIGHT("0"&amp;ROW(U38)-17,2),"")</f>
        <v/>
      </c>
      <c r="W38" s="218" t="str">
        <f>IF(受講者登録表!P35="●",RIGHT("0"&amp;ROW(V38)-17,2),"")</f>
        <v/>
      </c>
      <c r="X38" s="218" t="str">
        <f>IF(受講者登録表!Q35="●",RIGHT("0"&amp;ROW(W38)-17,2),"")</f>
        <v/>
      </c>
    </row>
    <row r="39" spans="1:24">
      <c r="A39" s="211">
        <f t="shared" si="5"/>
        <v>38</v>
      </c>
      <c r="B39" s="212">
        <f t="shared" si="10"/>
        <v>38</v>
      </c>
      <c r="C39" s="213" t="str">
        <f t="shared" si="0"/>
        <v/>
      </c>
      <c r="D39" s="134" t="str">
        <f t="shared" ca="1" si="1"/>
        <v/>
      </c>
      <c r="E39" s="214" t="str">
        <f>IF($B39&lt;=$N$14,申込書!$F$16,"")</f>
        <v/>
      </c>
      <c r="F39" s="214" t="str">
        <f t="shared" si="2"/>
        <v/>
      </c>
      <c r="G39" s="214"/>
      <c r="H39" s="240" t="str">
        <f t="shared" ca="1" si="3"/>
        <v/>
      </c>
      <c r="I39" s="224">
        <f t="shared" si="11"/>
        <v>0</v>
      </c>
      <c r="J39" s="222">
        <f t="shared" si="12"/>
        <v>0</v>
      </c>
      <c r="K39" s="228">
        <f>受講者登録表!S36</f>
        <v>0</v>
      </c>
      <c r="L39" s="221" t="str">
        <f>IF(ユーザー登録!A23&lt;&gt;"",ユーザー登録!A23,"")</f>
        <v/>
      </c>
      <c r="M39" s="218" t="str">
        <f>IF(受講者登録表!F36="●",RIGHT("0"&amp;ROW(L39)-17,2),"")</f>
        <v/>
      </c>
      <c r="N39" s="218" t="str">
        <f>IF(受講者登録表!G36="●",RIGHT("0"&amp;ROW(M39)-17,2),"")</f>
        <v/>
      </c>
      <c r="O39" s="218" t="str">
        <f>IF(受講者登録表!H36="●",RIGHT("0"&amp;ROW(N39)-17,2),"")</f>
        <v/>
      </c>
      <c r="P39" s="218" t="str">
        <f>IF(受講者登録表!I36="●",RIGHT("0"&amp;ROW(O39)-17,2),"")</f>
        <v/>
      </c>
      <c r="Q39" s="218" t="str">
        <f>IF(受講者登録表!J36="●",RIGHT("0"&amp;ROW(P39)-17,2),"")</f>
        <v/>
      </c>
      <c r="R39" s="218" t="str">
        <f>IF(受講者登録表!K36="●",RIGHT("0"&amp;ROW(Q39)-17,2),"")</f>
        <v/>
      </c>
      <c r="S39" s="218" t="str">
        <f>IF(受講者登録表!L36="●",RIGHT("0"&amp;ROW(R39)-17,2),"")</f>
        <v/>
      </c>
      <c r="T39" s="218" t="str">
        <f>IF(受講者登録表!M36="●",RIGHT("0"&amp;ROW(S39)-17,2),"")</f>
        <v/>
      </c>
      <c r="U39" s="218" t="str">
        <f>IF(受講者登録表!N36="●",RIGHT("0"&amp;ROW(T39)-17,2),"")</f>
        <v/>
      </c>
      <c r="V39" s="218" t="str">
        <f>IF(受講者登録表!O36="●",RIGHT("0"&amp;ROW(U39)-17,2),"")</f>
        <v/>
      </c>
      <c r="W39" s="218" t="str">
        <f>IF(受講者登録表!P36="●",RIGHT("0"&amp;ROW(V39)-17,2),"")</f>
        <v/>
      </c>
      <c r="X39" s="218" t="str">
        <f>IF(受講者登録表!Q36="●",RIGHT("0"&amp;ROW(W39)-17,2),"")</f>
        <v/>
      </c>
    </row>
    <row r="40" spans="1:24">
      <c r="A40" s="211">
        <f t="shared" si="5"/>
        <v>39</v>
      </c>
      <c r="B40" s="212">
        <f t="shared" si="10"/>
        <v>39</v>
      </c>
      <c r="C40" s="213" t="str">
        <f t="shared" si="0"/>
        <v/>
      </c>
      <c r="D40" s="134" t="str">
        <f t="shared" ca="1" si="1"/>
        <v/>
      </c>
      <c r="E40" s="214" t="str">
        <f>IF($B40&lt;=$N$14,申込書!$F$16,"")</f>
        <v/>
      </c>
      <c r="F40" s="214" t="str">
        <f t="shared" si="2"/>
        <v/>
      </c>
      <c r="G40" s="214"/>
      <c r="H40" s="240" t="str">
        <f t="shared" ca="1" si="3"/>
        <v/>
      </c>
      <c r="I40" s="224">
        <f t="shared" si="11"/>
        <v>0</v>
      </c>
      <c r="J40" s="222">
        <f t="shared" si="12"/>
        <v>0</v>
      </c>
      <c r="K40" s="228">
        <f>受講者登録表!S37</f>
        <v>0</v>
      </c>
      <c r="L40" s="221" t="str">
        <f>IF(ユーザー登録!A24&lt;&gt;"",ユーザー登録!A24,"")</f>
        <v/>
      </c>
      <c r="M40" s="218" t="str">
        <f>IF(受講者登録表!F37="●",RIGHT("0"&amp;ROW(L40)-17,2),"")</f>
        <v/>
      </c>
      <c r="N40" s="218" t="str">
        <f>IF(受講者登録表!G37="●",RIGHT("0"&amp;ROW(M40)-17,2),"")</f>
        <v/>
      </c>
      <c r="O40" s="218" t="str">
        <f>IF(受講者登録表!H37="●",RIGHT("0"&amp;ROW(N40)-17,2),"")</f>
        <v/>
      </c>
      <c r="P40" s="218" t="str">
        <f>IF(受講者登録表!I37="●",RIGHT("0"&amp;ROW(O40)-17,2),"")</f>
        <v/>
      </c>
      <c r="Q40" s="218" t="str">
        <f>IF(受講者登録表!J37="●",RIGHT("0"&amp;ROW(P40)-17,2),"")</f>
        <v/>
      </c>
      <c r="R40" s="218" t="str">
        <f>IF(受講者登録表!K37="●",RIGHT("0"&amp;ROW(Q40)-17,2),"")</f>
        <v/>
      </c>
      <c r="S40" s="218" t="str">
        <f>IF(受講者登録表!L37="●",RIGHT("0"&amp;ROW(R40)-17,2),"")</f>
        <v/>
      </c>
      <c r="T40" s="218" t="str">
        <f>IF(受講者登録表!M37="●",RIGHT("0"&amp;ROW(S40)-17,2),"")</f>
        <v/>
      </c>
      <c r="U40" s="218" t="str">
        <f>IF(受講者登録表!N37="●",RIGHT("0"&amp;ROW(T40)-17,2),"")</f>
        <v/>
      </c>
      <c r="V40" s="218" t="str">
        <f>IF(受講者登録表!O37="●",RIGHT("0"&amp;ROW(U40)-17,2),"")</f>
        <v/>
      </c>
      <c r="W40" s="218" t="str">
        <f>IF(受講者登録表!P37="●",RIGHT("0"&amp;ROW(V40)-17,2),"")</f>
        <v/>
      </c>
      <c r="X40" s="218" t="str">
        <f>IF(受講者登録表!Q37="●",RIGHT("0"&amp;ROW(W40)-17,2),"")</f>
        <v/>
      </c>
    </row>
    <row r="41" spans="1:24">
      <c r="A41" s="211">
        <f t="shared" si="5"/>
        <v>40</v>
      </c>
      <c r="B41" s="212">
        <f t="shared" si="10"/>
        <v>40</v>
      </c>
      <c r="C41" s="213" t="str">
        <f t="shared" si="0"/>
        <v/>
      </c>
      <c r="D41" s="134" t="str">
        <f t="shared" ca="1" si="1"/>
        <v/>
      </c>
      <c r="E41" s="214" t="str">
        <f>IF($B41&lt;=$N$14,申込書!$F$16,"")</f>
        <v/>
      </c>
      <c r="F41" s="214" t="str">
        <f t="shared" si="2"/>
        <v/>
      </c>
      <c r="G41" s="214"/>
      <c r="H41" s="240" t="str">
        <f t="shared" ca="1" si="3"/>
        <v/>
      </c>
      <c r="I41" s="224">
        <f t="shared" si="11"/>
        <v>0</v>
      </c>
      <c r="J41" s="222">
        <f t="shared" si="12"/>
        <v>0</v>
      </c>
      <c r="K41" s="228">
        <f>受講者登録表!S38</f>
        <v>0</v>
      </c>
      <c r="L41" s="221" t="str">
        <f>IF(ユーザー登録!A25&lt;&gt;"",ユーザー登録!A25,"")</f>
        <v/>
      </c>
      <c r="M41" s="218" t="str">
        <f>IF(受講者登録表!F38="●",RIGHT("0"&amp;ROW(L41)-17,2),"")</f>
        <v/>
      </c>
      <c r="N41" s="218" t="str">
        <f>IF(受講者登録表!G38="●",RIGHT("0"&amp;ROW(M41)-17,2),"")</f>
        <v/>
      </c>
      <c r="O41" s="218" t="str">
        <f>IF(受講者登録表!H38="●",RIGHT("0"&amp;ROW(N41)-17,2),"")</f>
        <v/>
      </c>
      <c r="P41" s="218" t="str">
        <f>IF(受講者登録表!I38="●",RIGHT("0"&amp;ROW(O41)-17,2),"")</f>
        <v/>
      </c>
      <c r="Q41" s="218" t="str">
        <f>IF(受講者登録表!J38="●",RIGHT("0"&amp;ROW(P41)-17,2),"")</f>
        <v/>
      </c>
      <c r="R41" s="218" t="str">
        <f>IF(受講者登録表!K38="●",RIGHT("0"&amp;ROW(Q41)-17,2),"")</f>
        <v/>
      </c>
      <c r="S41" s="218" t="str">
        <f>IF(受講者登録表!L38="●",RIGHT("0"&amp;ROW(R41)-17,2),"")</f>
        <v/>
      </c>
      <c r="T41" s="218" t="str">
        <f>IF(受講者登録表!M38="●",RIGHT("0"&amp;ROW(S41)-17,2),"")</f>
        <v/>
      </c>
      <c r="U41" s="218" t="str">
        <f>IF(受講者登録表!N38="●",RIGHT("0"&amp;ROW(T41)-17,2),"")</f>
        <v/>
      </c>
      <c r="V41" s="218" t="str">
        <f>IF(受講者登録表!O38="●",RIGHT("0"&amp;ROW(U41)-17,2),"")</f>
        <v/>
      </c>
      <c r="W41" s="218" t="str">
        <f>IF(受講者登録表!P38="●",RIGHT("0"&amp;ROW(V41)-17,2),"")</f>
        <v/>
      </c>
      <c r="X41" s="218" t="str">
        <f>IF(受講者登録表!Q38="●",RIGHT("0"&amp;ROW(W41)-17,2),"")</f>
        <v/>
      </c>
    </row>
    <row r="42" spans="1:24">
      <c r="A42" s="211">
        <f t="shared" si="5"/>
        <v>41</v>
      </c>
      <c r="B42" s="212">
        <f t="shared" si="10"/>
        <v>41</v>
      </c>
      <c r="C42" s="213" t="str">
        <f t="shared" si="0"/>
        <v/>
      </c>
      <c r="D42" s="134" t="str">
        <f t="shared" ca="1" si="1"/>
        <v/>
      </c>
      <c r="E42" s="214" t="str">
        <f>IF($B42&lt;=$N$14,申込書!$F$16,"")</f>
        <v/>
      </c>
      <c r="F42" s="214" t="str">
        <f t="shared" si="2"/>
        <v/>
      </c>
      <c r="G42" s="214"/>
      <c r="H42" s="240" t="str">
        <f t="shared" ca="1" si="3"/>
        <v/>
      </c>
      <c r="I42" s="224">
        <f t="shared" si="11"/>
        <v>0</v>
      </c>
      <c r="J42" s="222">
        <f t="shared" si="12"/>
        <v>0</v>
      </c>
      <c r="K42" s="228">
        <f>受講者登録表!S39</f>
        <v>0</v>
      </c>
      <c r="L42" s="221" t="str">
        <f>IF(ユーザー登録!A26&lt;&gt;"",ユーザー登録!A26,"")</f>
        <v/>
      </c>
      <c r="M42" s="218" t="str">
        <f>IF(受講者登録表!F39="●",RIGHT("0"&amp;ROW(L42)-17,2),"")</f>
        <v/>
      </c>
      <c r="N42" s="218" t="str">
        <f>IF(受講者登録表!G39="●",RIGHT("0"&amp;ROW(M42)-17,2),"")</f>
        <v/>
      </c>
      <c r="O42" s="218" t="str">
        <f>IF(受講者登録表!H39="●",RIGHT("0"&amp;ROW(N42)-17,2),"")</f>
        <v/>
      </c>
      <c r="P42" s="218" t="str">
        <f>IF(受講者登録表!I39="●",RIGHT("0"&amp;ROW(O42)-17,2),"")</f>
        <v/>
      </c>
      <c r="Q42" s="218" t="str">
        <f>IF(受講者登録表!J39="●",RIGHT("0"&amp;ROW(P42)-17,2),"")</f>
        <v/>
      </c>
      <c r="R42" s="218" t="str">
        <f>IF(受講者登録表!K39="●",RIGHT("0"&amp;ROW(Q42)-17,2),"")</f>
        <v/>
      </c>
      <c r="S42" s="218" t="str">
        <f>IF(受講者登録表!L39="●",RIGHT("0"&amp;ROW(R42)-17,2),"")</f>
        <v/>
      </c>
      <c r="T42" s="218" t="str">
        <f>IF(受講者登録表!M39="●",RIGHT("0"&amp;ROW(S42)-17,2),"")</f>
        <v/>
      </c>
      <c r="U42" s="218" t="str">
        <f>IF(受講者登録表!N39="●",RIGHT("0"&amp;ROW(T42)-17,2),"")</f>
        <v/>
      </c>
      <c r="V42" s="218" t="str">
        <f>IF(受講者登録表!O39="●",RIGHT("0"&amp;ROW(U42)-17,2),"")</f>
        <v/>
      </c>
      <c r="W42" s="218" t="str">
        <f>IF(受講者登録表!P39="●",RIGHT("0"&amp;ROW(V42)-17,2),"")</f>
        <v/>
      </c>
      <c r="X42" s="218" t="str">
        <f>IF(受講者登録表!Q39="●",RIGHT("0"&amp;ROW(W42)-17,2),"")</f>
        <v/>
      </c>
    </row>
    <row r="43" spans="1:24">
      <c r="A43" s="211">
        <f t="shared" si="5"/>
        <v>42</v>
      </c>
      <c r="B43" s="212">
        <f t="shared" si="10"/>
        <v>42</v>
      </c>
      <c r="C43" s="213" t="str">
        <f t="shared" si="0"/>
        <v/>
      </c>
      <c r="D43" s="134" t="str">
        <f t="shared" ca="1" si="1"/>
        <v/>
      </c>
      <c r="E43" s="214" t="str">
        <f>IF($B43&lt;=$N$14,申込書!$F$16,"")</f>
        <v/>
      </c>
      <c r="F43" s="214" t="str">
        <f t="shared" si="2"/>
        <v/>
      </c>
      <c r="G43" s="214"/>
      <c r="H43" s="240" t="str">
        <f t="shared" ca="1" si="3"/>
        <v/>
      </c>
      <c r="I43" s="224">
        <f t="shared" si="11"/>
        <v>0</v>
      </c>
      <c r="J43" s="222">
        <f t="shared" si="12"/>
        <v>0</v>
      </c>
      <c r="K43" s="228">
        <f>受講者登録表!S40</f>
        <v>0</v>
      </c>
      <c r="L43" s="221" t="str">
        <f>IF(ユーザー登録!A27&lt;&gt;"",ユーザー登録!A27,"")</f>
        <v/>
      </c>
      <c r="M43" s="218" t="str">
        <f>IF(受講者登録表!F40="●",RIGHT("0"&amp;ROW(L43)-17,2),"")</f>
        <v/>
      </c>
      <c r="N43" s="218" t="str">
        <f>IF(受講者登録表!G40="●",RIGHT("0"&amp;ROW(M43)-17,2),"")</f>
        <v/>
      </c>
      <c r="O43" s="218" t="str">
        <f>IF(受講者登録表!H40="●",RIGHT("0"&amp;ROW(N43)-17,2),"")</f>
        <v/>
      </c>
      <c r="P43" s="218" t="str">
        <f>IF(受講者登録表!I40="●",RIGHT("0"&amp;ROW(O43)-17,2),"")</f>
        <v/>
      </c>
      <c r="Q43" s="218" t="str">
        <f>IF(受講者登録表!J40="●",RIGHT("0"&amp;ROW(P43)-17,2),"")</f>
        <v/>
      </c>
      <c r="R43" s="218" t="str">
        <f>IF(受講者登録表!K40="●",RIGHT("0"&amp;ROW(Q43)-17,2),"")</f>
        <v/>
      </c>
      <c r="S43" s="218" t="str">
        <f>IF(受講者登録表!L40="●",RIGHT("0"&amp;ROW(R43)-17,2),"")</f>
        <v/>
      </c>
      <c r="T43" s="218" t="str">
        <f>IF(受講者登録表!M40="●",RIGHT("0"&amp;ROW(S43)-17,2),"")</f>
        <v/>
      </c>
      <c r="U43" s="218" t="str">
        <f>IF(受講者登録表!N40="●",RIGHT("0"&amp;ROW(T43)-17,2),"")</f>
        <v/>
      </c>
      <c r="V43" s="218" t="str">
        <f>IF(受講者登録表!O40="●",RIGHT("0"&amp;ROW(U43)-17,2),"")</f>
        <v/>
      </c>
      <c r="W43" s="218" t="str">
        <f>IF(受講者登録表!P40="●",RIGHT("0"&amp;ROW(V43)-17,2),"")</f>
        <v/>
      </c>
      <c r="X43" s="218" t="str">
        <f>IF(受講者登録表!Q40="●",RIGHT("0"&amp;ROW(W43)-17,2),"")</f>
        <v/>
      </c>
    </row>
    <row r="44" spans="1:24">
      <c r="A44" s="211">
        <f t="shared" si="5"/>
        <v>43</v>
      </c>
      <c r="B44" s="212">
        <f t="shared" si="10"/>
        <v>43</v>
      </c>
      <c r="C44" s="213" t="str">
        <f t="shared" si="0"/>
        <v/>
      </c>
      <c r="D44" s="134" t="str">
        <f t="shared" ca="1" si="1"/>
        <v/>
      </c>
      <c r="E44" s="214" t="str">
        <f>IF($B44&lt;=$N$14,申込書!$F$16,"")</f>
        <v/>
      </c>
      <c r="F44" s="214" t="str">
        <f t="shared" si="2"/>
        <v/>
      </c>
      <c r="G44" s="214"/>
      <c r="H44" s="240" t="str">
        <f t="shared" ca="1" si="3"/>
        <v/>
      </c>
      <c r="I44" s="224">
        <f t="shared" si="11"/>
        <v>0</v>
      </c>
      <c r="J44" s="222">
        <f t="shared" si="12"/>
        <v>0</v>
      </c>
      <c r="K44" s="228">
        <f>受講者登録表!S41</f>
        <v>0</v>
      </c>
      <c r="L44" s="221" t="str">
        <f>IF(ユーザー登録!A28&lt;&gt;"",ユーザー登録!A28,"")</f>
        <v/>
      </c>
      <c r="M44" s="218" t="str">
        <f>IF(受講者登録表!F41="●",RIGHT("0"&amp;ROW(L44)-17,2),"")</f>
        <v/>
      </c>
      <c r="N44" s="218" t="str">
        <f>IF(受講者登録表!G41="●",RIGHT("0"&amp;ROW(M44)-17,2),"")</f>
        <v/>
      </c>
      <c r="O44" s="218" t="str">
        <f>IF(受講者登録表!H41="●",RIGHT("0"&amp;ROW(N44)-17,2),"")</f>
        <v/>
      </c>
      <c r="P44" s="218" t="str">
        <f>IF(受講者登録表!I41="●",RIGHT("0"&amp;ROW(O44)-17,2),"")</f>
        <v/>
      </c>
      <c r="Q44" s="218" t="str">
        <f>IF(受講者登録表!J41="●",RIGHT("0"&amp;ROW(P44)-17,2),"")</f>
        <v/>
      </c>
      <c r="R44" s="218" t="str">
        <f>IF(受講者登録表!K41="●",RIGHT("0"&amp;ROW(Q44)-17,2),"")</f>
        <v/>
      </c>
      <c r="S44" s="218" t="str">
        <f>IF(受講者登録表!L41="●",RIGHT("0"&amp;ROW(R44)-17,2),"")</f>
        <v/>
      </c>
      <c r="T44" s="218" t="str">
        <f>IF(受講者登録表!M41="●",RIGHT("0"&amp;ROW(S44)-17,2),"")</f>
        <v/>
      </c>
      <c r="U44" s="218" t="str">
        <f>IF(受講者登録表!N41="●",RIGHT("0"&amp;ROW(T44)-17,2),"")</f>
        <v/>
      </c>
      <c r="V44" s="218" t="str">
        <f>IF(受講者登録表!O41="●",RIGHT("0"&amp;ROW(U44)-17,2),"")</f>
        <v/>
      </c>
      <c r="W44" s="218" t="str">
        <f>IF(受講者登録表!P41="●",RIGHT("0"&amp;ROW(V44)-17,2),"")</f>
        <v/>
      </c>
      <c r="X44" s="218" t="str">
        <f>IF(受講者登録表!Q41="●",RIGHT("0"&amp;ROW(W44)-17,2),"")</f>
        <v/>
      </c>
    </row>
    <row r="45" spans="1:24">
      <c r="A45" s="211">
        <f t="shared" si="5"/>
        <v>44</v>
      </c>
      <c r="B45" s="212">
        <f t="shared" si="10"/>
        <v>44</v>
      </c>
      <c r="C45" s="213" t="str">
        <f t="shared" si="0"/>
        <v/>
      </c>
      <c r="D45" s="134" t="str">
        <f t="shared" ca="1" si="1"/>
        <v/>
      </c>
      <c r="E45" s="214" t="str">
        <f>IF($B45&lt;=$N$14,申込書!$F$16,"")</f>
        <v/>
      </c>
      <c r="F45" s="214" t="str">
        <f t="shared" si="2"/>
        <v/>
      </c>
      <c r="G45" s="214"/>
      <c r="H45" s="240" t="str">
        <f t="shared" ca="1" si="3"/>
        <v/>
      </c>
      <c r="I45" s="224">
        <f t="shared" si="11"/>
        <v>0</v>
      </c>
      <c r="J45" s="222">
        <f t="shared" si="12"/>
        <v>0</v>
      </c>
      <c r="K45" s="228">
        <f>受講者登録表!S42</f>
        <v>0</v>
      </c>
      <c r="L45" s="221" t="str">
        <f>IF(ユーザー登録!A29&lt;&gt;"",ユーザー登録!A29,"")</f>
        <v/>
      </c>
      <c r="M45" s="218" t="str">
        <f>IF(受講者登録表!F42="●",RIGHT("0"&amp;ROW(L45)-17,2),"")</f>
        <v/>
      </c>
      <c r="N45" s="218" t="str">
        <f>IF(受講者登録表!G42="●",RIGHT("0"&amp;ROW(M45)-17,2),"")</f>
        <v/>
      </c>
      <c r="O45" s="218" t="str">
        <f>IF(受講者登録表!H42="●",RIGHT("0"&amp;ROW(N45)-17,2),"")</f>
        <v/>
      </c>
      <c r="P45" s="218" t="str">
        <f>IF(受講者登録表!I42="●",RIGHT("0"&amp;ROW(O45)-17,2),"")</f>
        <v/>
      </c>
      <c r="Q45" s="218" t="str">
        <f>IF(受講者登録表!J42="●",RIGHT("0"&amp;ROW(P45)-17,2),"")</f>
        <v/>
      </c>
      <c r="R45" s="218" t="str">
        <f>IF(受講者登録表!K42="●",RIGHT("0"&amp;ROW(Q45)-17,2),"")</f>
        <v/>
      </c>
      <c r="S45" s="218" t="str">
        <f>IF(受講者登録表!L42="●",RIGHT("0"&amp;ROW(R45)-17,2),"")</f>
        <v/>
      </c>
      <c r="T45" s="218" t="str">
        <f>IF(受講者登録表!M42="●",RIGHT("0"&amp;ROW(S45)-17,2),"")</f>
        <v/>
      </c>
      <c r="U45" s="218" t="str">
        <f>IF(受講者登録表!N42="●",RIGHT("0"&amp;ROW(T45)-17,2),"")</f>
        <v/>
      </c>
      <c r="V45" s="218" t="str">
        <f>IF(受講者登録表!O42="●",RIGHT("0"&amp;ROW(U45)-17,2),"")</f>
        <v/>
      </c>
      <c r="W45" s="218" t="str">
        <f>IF(受講者登録表!P42="●",RIGHT("0"&amp;ROW(V45)-17,2),"")</f>
        <v/>
      </c>
      <c r="X45" s="218" t="str">
        <f>IF(受講者登録表!Q42="●",RIGHT("0"&amp;ROW(W45)-17,2),"")</f>
        <v/>
      </c>
    </row>
    <row r="46" spans="1:24">
      <c r="A46" s="211">
        <f t="shared" si="5"/>
        <v>45</v>
      </c>
      <c r="B46" s="212">
        <f t="shared" si="10"/>
        <v>45</v>
      </c>
      <c r="C46" s="213" t="str">
        <f t="shared" si="0"/>
        <v/>
      </c>
      <c r="D46" s="134" t="str">
        <f t="shared" ca="1" si="1"/>
        <v/>
      </c>
      <c r="E46" s="214" t="str">
        <f>IF($B46&lt;=$N$14,申込書!$F$16,"")</f>
        <v/>
      </c>
      <c r="F46" s="214" t="str">
        <f t="shared" si="2"/>
        <v/>
      </c>
      <c r="G46" s="214"/>
      <c r="H46" s="240" t="str">
        <f t="shared" ca="1" si="3"/>
        <v/>
      </c>
      <c r="I46" s="224">
        <f t="shared" si="11"/>
        <v>0</v>
      </c>
      <c r="J46" s="222">
        <f t="shared" si="12"/>
        <v>0</v>
      </c>
      <c r="K46" s="228">
        <f>受講者登録表!S43</f>
        <v>0</v>
      </c>
      <c r="L46" s="221" t="str">
        <f>IF(ユーザー登録!A30&lt;&gt;"",ユーザー登録!A30,"")</f>
        <v/>
      </c>
      <c r="M46" s="218" t="str">
        <f>IF(受講者登録表!F43="●",RIGHT("0"&amp;ROW(L46)-17,2),"")</f>
        <v/>
      </c>
      <c r="N46" s="218" t="str">
        <f>IF(受講者登録表!G43="●",RIGHT("0"&amp;ROW(M46)-17,2),"")</f>
        <v/>
      </c>
      <c r="O46" s="218" t="str">
        <f>IF(受講者登録表!H43="●",RIGHT("0"&amp;ROW(N46)-17,2),"")</f>
        <v/>
      </c>
      <c r="P46" s="218" t="str">
        <f>IF(受講者登録表!I43="●",RIGHT("0"&amp;ROW(O46)-17,2),"")</f>
        <v/>
      </c>
      <c r="Q46" s="218" t="str">
        <f>IF(受講者登録表!J43="●",RIGHT("0"&amp;ROW(P46)-17,2),"")</f>
        <v/>
      </c>
      <c r="R46" s="218" t="str">
        <f>IF(受講者登録表!K43="●",RIGHT("0"&amp;ROW(Q46)-17,2),"")</f>
        <v/>
      </c>
      <c r="S46" s="218" t="str">
        <f>IF(受講者登録表!L43="●",RIGHT("0"&amp;ROW(R46)-17,2),"")</f>
        <v/>
      </c>
      <c r="T46" s="218" t="str">
        <f>IF(受講者登録表!M43="●",RIGHT("0"&amp;ROW(S46)-17,2),"")</f>
        <v/>
      </c>
      <c r="U46" s="218" t="str">
        <f>IF(受講者登録表!N43="●",RIGHT("0"&amp;ROW(T46)-17,2),"")</f>
        <v/>
      </c>
      <c r="V46" s="218" t="str">
        <f>IF(受講者登録表!O43="●",RIGHT("0"&amp;ROW(U46)-17,2),"")</f>
        <v/>
      </c>
      <c r="W46" s="218" t="str">
        <f>IF(受講者登録表!P43="●",RIGHT("0"&amp;ROW(V46)-17,2),"")</f>
        <v/>
      </c>
      <c r="X46" s="218" t="str">
        <f>IF(受講者登録表!Q43="●",RIGHT("0"&amp;ROW(W46)-17,2),"")</f>
        <v/>
      </c>
    </row>
    <row r="47" spans="1:24">
      <c r="A47" s="211">
        <f t="shared" si="5"/>
        <v>46</v>
      </c>
      <c r="B47" s="212">
        <f t="shared" si="10"/>
        <v>46</v>
      </c>
      <c r="C47" s="213" t="str">
        <f t="shared" si="0"/>
        <v/>
      </c>
      <c r="D47" s="134" t="str">
        <f t="shared" ca="1" si="1"/>
        <v/>
      </c>
      <c r="E47" s="214" t="str">
        <f>IF($B47&lt;=$N$14,申込書!$F$16,"")</f>
        <v/>
      </c>
      <c r="F47" s="214" t="str">
        <f t="shared" si="2"/>
        <v/>
      </c>
      <c r="G47" s="214"/>
      <c r="H47" s="240" t="str">
        <f t="shared" ca="1" si="3"/>
        <v/>
      </c>
      <c r="I47" s="224">
        <f t="shared" si="11"/>
        <v>0</v>
      </c>
      <c r="J47" s="222">
        <f t="shared" si="12"/>
        <v>0</v>
      </c>
      <c r="K47" s="228">
        <f>受講者登録表!S44</f>
        <v>0</v>
      </c>
      <c r="L47" s="221" t="str">
        <f>IF(ユーザー登録!A31&lt;&gt;"",ユーザー登録!A31,"")</f>
        <v/>
      </c>
      <c r="M47" s="218" t="str">
        <f>IF(受講者登録表!F44="●",RIGHT("0"&amp;ROW(L47)-17,2),"")</f>
        <v/>
      </c>
      <c r="N47" s="218" t="str">
        <f>IF(受講者登録表!G44="●",RIGHT("0"&amp;ROW(M47)-17,2),"")</f>
        <v/>
      </c>
      <c r="O47" s="218" t="str">
        <f>IF(受講者登録表!H44="●",RIGHT("0"&amp;ROW(N47)-17,2),"")</f>
        <v/>
      </c>
      <c r="P47" s="218" t="str">
        <f>IF(受講者登録表!I44="●",RIGHT("0"&amp;ROW(O47)-17,2),"")</f>
        <v/>
      </c>
      <c r="Q47" s="218" t="str">
        <f>IF(受講者登録表!J44="●",RIGHT("0"&amp;ROW(P47)-17,2),"")</f>
        <v/>
      </c>
      <c r="R47" s="218" t="str">
        <f>IF(受講者登録表!K44="●",RIGHT("0"&amp;ROW(Q47)-17,2),"")</f>
        <v/>
      </c>
      <c r="S47" s="218" t="str">
        <f>IF(受講者登録表!L44="●",RIGHT("0"&amp;ROW(R47)-17,2),"")</f>
        <v/>
      </c>
      <c r="T47" s="218" t="str">
        <f>IF(受講者登録表!M44="●",RIGHT("0"&amp;ROW(S47)-17,2),"")</f>
        <v/>
      </c>
      <c r="U47" s="218" t="str">
        <f>IF(受講者登録表!N44="●",RIGHT("0"&amp;ROW(T47)-17,2),"")</f>
        <v/>
      </c>
      <c r="V47" s="218" t="str">
        <f>IF(受講者登録表!O44="●",RIGHT("0"&amp;ROW(U47)-17,2),"")</f>
        <v/>
      </c>
      <c r="W47" s="218" t="str">
        <f>IF(受講者登録表!P44="●",RIGHT("0"&amp;ROW(V47)-17,2),"")</f>
        <v/>
      </c>
      <c r="X47" s="218" t="str">
        <f>IF(受講者登録表!Q44="●",RIGHT("0"&amp;ROW(W47)-17,2),"")</f>
        <v/>
      </c>
    </row>
    <row r="48" spans="1:24">
      <c r="A48" s="211">
        <f t="shared" si="5"/>
        <v>47</v>
      </c>
      <c r="B48" s="212">
        <f t="shared" si="10"/>
        <v>47</v>
      </c>
      <c r="C48" s="213" t="str">
        <f t="shared" si="0"/>
        <v/>
      </c>
      <c r="D48" s="134" t="str">
        <f t="shared" ca="1" si="1"/>
        <v/>
      </c>
      <c r="E48" s="214" t="str">
        <f>IF($B48&lt;=$N$14,申込書!$F$16,"")</f>
        <v/>
      </c>
      <c r="F48" s="214" t="str">
        <f t="shared" si="2"/>
        <v/>
      </c>
      <c r="G48" s="214"/>
      <c r="H48" s="240" t="str">
        <f t="shared" ca="1" si="3"/>
        <v/>
      </c>
      <c r="I48" s="210">
        <f>SUBTOTAL(9,I18:I47)</f>
        <v>0</v>
      </c>
      <c r="J48" s="210">
        <f t="shared" ref="J48:K48" si="13">SUBTOTAL(9,J18:J47)</f>
        <v>0</v>
      </c>
      <c r="K48" s="210">
        <f t="shared" si="13"/>
        <v>0</v>
      </c>
      <c r="M48" s="219" t="str">
        <f>M18&amp;M19&amp;M20&amp;M21&amp;M22&amp;M23&amp;M24&amp;M25&amp;M26&amp;M27&amp;M28&amp;M29&amp;M30&amp;M31&amp;M32&amp;M33&amp;M34&amp;M35&amp;M36&amp;M37&amp;M38&amp;M39&amp;M40&amp;M41&amp;M42&amp;M43&amp;M44&amp;M45&amp;M46&amp;M47</f>
        <v/>
      </c>
      <c r="N48" s="219" t="str">
        <f t="shared" ref="N48:X48" si="14">N18&amp;N19&amp;N20&amp;N21&amp;N22&amp;N23&amp;N24&amp;N25&amp;N26&amp;N27&amp;N28&amp;N29&amp;N30&amp;N31&amp;N32&amp;N33&amp;N34&amp;N35&amp;N36&amp;N37&amp;N38&amp;N39&amp;N40&amp;N41&amp;N42&amp;N43&amp;N44&amp;N45&amp;N46&amp;N47</f>
        <v/>
      </c>
      <c r="O48" s="219" t="str">
        <f t="shared" si="14"/>
        <v/>
      </c>
      <c r="P48" s="219" t="str">
        <f t="shared" si="14"/>
        <v/>
      </c>
      <c r="Q48" s="219" t="str">
        <f t="shared" si="14"/>
        <v/>
      </c>
      <c r="R48" s="219" t="str">
        <f t="shared" si="14"/>
        <v/>
      </c>
      <c r="S48" s="219" t="str">
        <f t="shared" si="14"/>
        <v/>
      </c>
      <c r="T48" s="219" t="str">
        <f t="shared" si="14"/>
        <v/>
      </c>
      <c r="U48" s="219" t="str">
        <f t="shared" si="14"/>
        <v/>
      </c>
      <c r="V48" s="219" t="str">
        <f t="shared" si="14"/>
        <v/>
      </c>
      <c r="W48" s="219" t="str">
        <f>W18&amp;W19&amp;W20&amp;W21&amp;W22&amp;W23&amp;W24&amp;W25&amp;W26&amp;W27&amp;W28&amp;W29&amp;W30&amp;W31&amp;W32&amp;W33&amp;W34&amp;W35&amp;W36&amp;W37&amp;W38&amp;W39&amp;W40&amp;W41&amp;W42&amp;W43&amp;W44&amp;W45&amp;W46&amp;W47</f>
        <v/>
      </c>
      <c r="X48" s="219" t="str">
        <f t="shared" si="14"/>
        <v/>
      </c>
    </row>
    <row r="49" spans="1:24">
      <c r="A49" s="211">
        <f t="shared" si="5"/>
        <v>48</v>
      </c>
      <c r="B49" s="212">
        <f t="shared" si="10"/>
        <v>48</v>
      </c>
      <c r="C49" s="213" t="str">
        <f t="shared" si="0"/>
        <v/>
      </c>
      <c r="D49" s="134" t="str">
        <f t="shared" ca="1" si="1"/>
        <v/>
      </c>
      <c r="E49" s="214" t="str">
        <f>IF($B49&lt;=$N$14,申込書!$F$16,"")</f>
        <v/>
      </c>
      <c r="F49" s="214" t="str">
        <f t="shared" si="2"/>
        <v/>
      </c>
      <c r="G49" s="214"/>
      <c r="H49" s="240" t="str">
        <f t="shared" ca="1" si="3"/>
        <v/>
      </c>
      <c r="M49" s="209">
        <f>COUNTIF(M$18:M$47,"&gt;""")</f>
        <v>0</v>
      </c>
      <c r="N49" s="209">
        <f t="shared" ref="N49:X49" si="15">COUNTIF(N$18:N$47,"&gt;""")</f>
        <v>0</v>
      </c>
      <c r="O49" s="209">
        <f t="shared" si="15"/>
        <v>0</v>
      </c>
      <c r="P49" s="209">
        <f t="shared" si="15"/>
        <v>0</v>
      </c>
      <c r="Q49" s="209">
        <f t="shared" si="15"/>
        <v>0</v>
      </c>
      <c r="R49" s="209">
        <f t="shared" si="15"/>
        <v>0</v>
      </c>
      <c r="S49" s="209">
        <f t="shared" si="15"/>
        <v>0</v>
      </c>
      <c r="T49" s="209">
        <f t="shared" si="15"/>
        <v>0</v>
      </c>
      <c r="U49" s="209">
        <f t="shared" si="15"/>
        <v>0</v>
      </c>
      <c r="V49" s="209">
        <f t="shared" si="15"/>
        <v>0</v>
      </c>
      <c r="W49" s="209">
        <f t="shared" si="15"/>
        <v>0</v>
      </c>
      <c r="X49" s="209">
        <f t="shared" si="15"/>
        <v>0</v>
      </c>
    </row>
    <row r="50" spans="1:24">
      <c r="A50" s="211">
        <f t="shared" si="5"/>
        <v>49</v>
      </c>
      <c r="B50" s="212">
        <f t="shared" si="10"/>
        <v>49</v>
      </c>
      <c r="C50" s="213" t="str">
        <f t="shared" si="0"/>
        <v/>
      </c>
      <c r="D50" s="134" t="str">
        <f t="shared" ca="1" si="1"/>
        <v/>
      </c>
      <c r="E50" s="214" t="str">
        <f>IF($B50&lt;=$N$14,申込書!$F$16,"")</f>
        <v/>
      </c>
      <c r="F50" s="214" t="str">
        <f t="shared" si="2"/>
        <v/>
      </c>
      <c r="G50" s="214"/>
      <c r="H50" s="240" t="str">
        <f t="shared" ca="1" si="3"/>
        <v/>
      </c>
    </row>
    <row r="51" spans="1:24">
      <c r="A51" s="211">
        <f t="shared" si="5"/>
        <v>50</v>
      </c>
      <c r="B51" s="212">
        <f t="shared" si="10"/>
        <v>50</v>
      </c>
      <c r="C51" s="213" t="str">
        <f t="shared" si="0"/>
        <v/>
      </c>
      <c r="D51" s="134" t="str">
        <f t="shared" ca="1" si="1"/>
        <v/>
      </c>
      <c r="E51" s="214" t="str">
        <f>IF($B51&lt;=$N$14,申込書!$F$16,"")</f>
        <v/>
      </c>
      <c r="F51" s="214" t="str">
        <f t="shared" si="2"/>
        <v/>
      </c>
      <c r="G51" s="214"/>
      <c r="H51" s="240" t="str">
        <f t="shared" ca="1" si="3"/>
        <v/>
      </c>
    </row>
    <row r="52" spans="1:24">
      <c r="A52" s="211">
        <f t="shared" si="5"/>
        <v>51</v>
      </c>
      <c r="B52" s="212">
        <f t="shared" si="10"/>
        <v>51</v>
      </c>
      <c r="C52" s="213" t="str">
        <f t="shared" si="0"/>
        <v/>
      </c>
      <c r="D52" s="134" t="str">
        <f t="shared" ca="1" si="1"/>
        <v/>
      </c>
      <c r="E52" s="214" t="str">
        <f>IF($B52&lt;=$N$14,申込書!$F$16,"")</f>
        <v/>
      </c>
      <c r="F52" s="214" t="str">
        <f t="shared" si="2"/>
        <v/>
      </c>
      <c r="G52" s="214"/>
      <c r="H52" s="240" t="str">
        <f t="shared" ca="1" si="3"/>
        <v/>
      </c>
    </row>
    <row r="53" spans="1:24">
      <c r="A53" s="211">
        <f t="shared" si="5"/>
        <v>52</v>
      </c>
      <c r="B53" s="212">
        <f t="shared" si="10"/>
        <v>52</v>
      </c>
      <c r="C53" s="213" t="str">
        <f t="shared" si="0"/>
        <v/>
      </c>
      <c r="D53" s="134" t="str">
        <f t="shared" ca="1" si="1"/>
        <v/>
      </c>
      <c r="E53" s="214" t="str">
        <f>IF($B53&lt;=$N$14,申込書!$F$16,"")</f>
        <v/>
      </c>
      <c r="F53" s="214" t="str">
        <f t="shared" si="2"/>
        <v/>
      </c>
      <c r="G53" s="214"/>
      <c r="H53" s="240" t="str">
        <f t="shared" ca="1" si="3"/>
        <v/>
      </c>
    </row>
    <row r="54" spans="1:24">
      <c r="A54" s="211">
        <f t="shared" si="5"/>
        <v>53</v>
      </c>
      <c r="B54" s="212">
        <f t="shared" si="10"/>
        <v>53</v>
      </c>
      <c r="C54" s="213" t="str">
        <f t="shared" si="0"/>
        <v/>
      </c>
      <c r="D54" s="134" t="str">
        <f t="shared" ca="1" si="1"/>
        <v/>
      </c>
      <c r="E54" s="214" t="str">
        <f>IF($B54&lt;=$N$14,申込書!$F$16,"")</f>
        <v/>
      </c>
      <c r="F54" s="214" t="str">
        <f t="shared" si="2"/>
        <v/>
      </c>
      <c r="G54" s="214"/>
      <c r="H54" s="240" t="str">
        <f t="shared" ca="1" si="3"/>
        <v/>
      </c>
    </row>
    <row r="55" spans="1:24">
      <c r="A55" s="211">
        <f t="shared" si="5"/>
        <v>54</v>
      </c>
      <c r="B55" s="212">
        <f t="shared" si="10"/>
        <v>54</v>
      </c>
      <c r="C55" s="213" t="str">
        <f t="shared" si="0"/>
        <v/>
      </c>
      <c r="D55" s="134" t="str">
        <f t="shared" ca="1" si="1"/>
        <v/>
      </c>
      <c r="E55" s="214" t="str">
        <f>IF($B55&lt;=$N$14,申込書!$F$16,"")</f>
        <v/>
      </c>
      <c r="F55" s="214" t="str">
        <f t="shared" si="2"/>
        <v/>
      </c>
      <c r="G55" s="214"/>
      <c r="H55" s="240" t="str">
        <f t="shared" ca="1" si="3"/>
        <v/>
      </c>
    </row>
    <row r="56" spans="1:24">
      <c r="A56" s="211">
        <f t="shared" si="5"/>
        <v>55</v>
      </c>
      <c r="B56" s="212">
        <f t="shared" si="10"/>
        <v>55</v>
      </c>
      <c r="C56" s="213" t="str">
        <f t="shared" si="0"/>
        <v/>
      </c>
      <c r="D56" s="134" t="str">
        <f t="shared" ca="1" si="1"/>
        <v/>
      </c>
      <c r="E56" s="214" t="str">
        <f>IF($B56&lt;=$N$14,申込書!$F$16,"")</f>
        <v/>
      </c>
      <c r="F56" s="214" t="str">
        <f t="shared" si="2"/>
        <v/>
      </c>
      <c r="G56" s="214"/>
      <c r="H56" s="240" t="str">
        <f t="shared" ca="1" si="3"/>
        <v/>
      </c>
    </row>
    <row r="57" spans="1:24">
      <c r="A57" s="211">
        <f t="shared" si="5"/>
        <v>56</v>
      </c>
      <c r="B57" s="212">
        <f t="shared" si="10"/>
        <v>56</v>
      </c>
      <c r="C57" s="213" t="str">
        <f t="shared" si="0"/>
        <v/>
      </c>
      <c r="D57" s="134" t="str">
        <f t="shared" ca="1" si="1"/>
        <v/>
      </c>
      <c r="E57" s="214" t="str">
        <f>IF($B57&lt;=$N$14,申込書!$F$16,"")</f>
        <v/>
      </c>
      <c r="F57" s="214" t="str">
        <f t="shared" si="2"/>
        <v/>
      </c>
      <c r="G57" s="214"/>
      <c r="H57" s="240" t="str">
        <f t="shared" ca="1" si="3"/>
        <v/>
      </c>
    </row>
    <row r="58" spans="1:24">
      <c r="A58" s="211">
        <f t="shared" si="5"/>
        <v>57</v>
      </c>
      <c r="B58" s="212">
        <f t="shared" si="10"/>
        <v>57</v>
      </c>
      <c r="C58" s="213" t="str">
        <f t="shared" si="0"/>
        <v/>
      </c>
      <c r="D58" s="134" t="str">
        <f t="shared" ca="1" si="1"/>
        <v/>
      </c>
      <c r="E58" s="214" t="str">
        <f>IF($B58&lt;=$N$14,申込書!$F$16,"")</f>
        <v/>
      </c>
      <c r="F58" s="214" t="str">
        <f t="shared" si="2"/>
        <v/>
      </c>
      <c r="G58" s="214"/>
      <c r="H58" s="240" t="str">
        <f t="shared" ca="1" si="3"/>
        <v/>
      </c>
    </row>
    <row r="59" spans="1:24">
      <c r="A59" s="211">
        <f t="shared" si="5"/>
        <v>58</v>
      </c>
      <c r="B59" s="212">
        <f t="shared" si="10"/>
        <v>58</v>
      </c>
      <c r="C59" s="213" t="str">
        <f t="shared" si="0"/>
        <v/>
      </c>
      <c r="D59" s="134" t="str">
        <f t="shared" ca="1" si="1"/>
        <v/>
      </c>
      <c r="E59" s="214" t="str">
        <f>IF($B59&lt;=$N$14,申込書!$F$16,"")</f>
        <v/>
      </c>
      <c r="F59" s="214" t="str">
        <f t="shared" si="2"/>
        <v/>
      </c>
      <c r="G59" s="214"/>
      <c r="H59" s="240" t="str">
        <f t="shared" ca="1" si="3"/>
        <v/>
      </c>
    </row>
    <row r="60" spans="1:24">
      <c r="A60" s="211">
        <f t="shared" si="5"/>
        <v>59</v>
      </c>
      <c r="B60" s="212">
        <f t="shared" si="10"/>
        <v>59</v>
      </c>
      <c r="C60" s="213" t="str">
        <f t="shared" si="0"/>
        <v/>
      </c>
      <c r="D60" s="134" t="str">
        <f t="shared" ca="1" si="1"/>
        <v/>
      </c>
      <c r="E60" s="214" t="str">
        <f>IF($B60&lt;=$N$14,申込書!$F$16,"")</f>
        <v/>
      </c>
      <c r="F60" s="214" t="str">
        <f t="shared" si="2"/>
        <v/>
      </c>
      <c r="G60" s="214"/>
      <c r="H60" s="240" t="str">
        <f t="shared" ca="1" si="3"/>
        <v/>
      </c>
    </row>
    <row r="61" spans="1:24">
      <c r="A61" s="211">
        <f t="shared" si="5"/>
        <v>60</v>
      </c>
      <c r="B61" s="212">
        <f t="shared" si="10"/>
        <v>60</v>
      </c>
      <c r="C61" s="213" t="str">
        <f t="shared" si="0"/>
        <v/>
      </c>
      <c r="D61" s="134" t="str">
        <f t="shared" ca="1" si="1"/>
        <v/>
      </c>
      <c r="E61" s="214" t="str">
        <f>IF($B61&lt;=$N$14,申込書!$F$16,"")</f>
        <v/>
      </c>
      <c r="F61" s="214" t="str">
        <f t="shared" si="2"/>
        <v/>
      </c>
      <c r="G61" s="214"/>
      <c r="H61" s="240" t="str">
        <f t="shared" ca="1" si="3"/>
        <v/>
      </c>
    </row>
    <row r="62" spans="1:24">
      <c r="A62" s="211">
        <f t="shared" si="5"/>
        <v>61</v>
      </c>
      <c r="B62" s="212">
        <f t="shared" si="10"/>
        <v>61</v>
      </c>
      <c r="C62" s="213" t="str">
        <f t="shared" si="0"/>
        <v/>
      </c>
      <c r="D62" s="134" t="str">
        <f t="shared" ca="1" si="1"/>
        <v/>
      </c>
      <c r="E62" s="214" t="str">
        <f>IF($B62&lt;=$N$14,申込書!$F$16,"")</f>
        <v/>
      </c>
      <c r="F62" s="214" t="str">
        <f t="shared" si="2"/>
        <v/>
      </c>
      <c r="G62" s="214"/>
      <c r="H62" s="240" t="str">
        <f t="shared" ca="1" si="3"/>
        <v/>
      </c>
    </row>
    <row r="63" spans="1:24">
      <c r="A63" s="211">
        <f t="shared" si="5"/>
        <v>62</v>
      </c>
      <c r="B63" s="212">
        <f t="shared" si="10"/>
        <v>62</v>
      </c>
      <c r="C63" s="213" t="str">
        <f t="shared" si="0"/>
        <v/>
      </c>
      <c r="D63" s="134" t="str">
        <f t="shared" ca="1" si="1"/>
        <v/>
      </c>
      <c r="E63" s="214" t="str">
        <f>IF($B63&lt;=$N$14,申込書!$F$16,"")</f>
        <v/>
      </c>
      <c r="F63" s="214" t="str">
        <f t="shared" si="2"/>
        <v/>
      </c>
      <c r="G63" s="214"/>
      <c r="H63" s="240" t="str">
        <f t="shared" ca="1" si="3"/>
        <v/>
      </c>
    </row>
    <row r="64" spans="1:24">
      <c r="A64" s="211">
        <f t="shared" si="5"/>
        <v>63</v>
      </c>
      <c r="B64" s="212">
        <f t="shared" si="10"/>
        <v>63</v>
      </c>
      <c r="C64" s="213" t="str">
        <f t="shared" si="0"/>
        <v/>
      </c>
      <c r="D64" s="134" t="str">
        <f t="shared" ca="1" si="1"/>
        <v/>
      </c>
      <c r="E64" s="214" t="str">
        <f>IF($B64&lt;=$N$14,申込書!$F$16,"")</f>
        <v/>
      </c>
      <c r="F64" s="214" t="str">
        <f t="shared" si="2"/>
        <v/>
      </c>
      <c r="G64" s="214"/>
      <c r="H64" s="240" t="str">
        <f t="shared" ca="1" si="3"/>
        <v/>
      </c>
    </row>
    <row r="65" spans="1:8">
      <c r="A65" s="211">
        <f t="shared" si="5"/>
        <v>64</v>
      </c>
      <c r="B65" s="212">
        <f t="shared" si="10"/>
        <v>64</v>
      </c>
      <c r="C65" s="213" t="str">
        <f t="shared" si="0"/>
        <v/>
      </c>
      <c r="D65" s="134" t="str">
        <f t="shared" ca="1" si="1"/>
        <v/>
      </c>
      <c r="E65" s="214" t="str">
        <f>IF($B65&lt;=$N$14,申込書!$F$16,"")</f>
        <v/>
      </c>
      <c r="F65" s="214" t="str">
        <f t="shared" si="2"/>
        <v/>
      </c>
      <c r="G65" s="214"/>
      <c r="H65" s="240" t="str">
        <f t="shared" ca="1" si="3"/>
        <v/>
      </c>
    </row>
    <row r="66" spans="1:8">
      <c r="A66" s="211">
        <f t="shared" si="5"/>
        <v>65</v>
      </c>
      <c r="B66" s="212">
        <f t="shared" si="10"/>
        <v>65</v>
      </c>
      <c r="C66" s="213" t="str">
        <f t="shared" ref="C66:C129" si="16">IF($B66&lt;=$N$14,VLOOKUP($B66,申込,2,TRUE),"")</f>
        <v/>
      </c>
      <c r="D66" s="134" t="str">
        <f t="shared" ref="D66:D129" ca="1" si="17">IFERROR(OFFSET($L$17,VALUE(MID(OFFSET($L$17,31,MATCH($C66,$M$17:$X$17,0)),A66*2-1,2)),0),"")</f>
        <v/>
      </c>
      <c r="E66" s="214" t="str">
        <f>IF($B66&lt;=$N$14,申込書!$F$16,"")</f>
        <v/>
      </c>
      <c r="F66" s="214" t="str">
        <f t="shared" ref="F66:F129" si="18">IF($B66&lt;=$N$14,EDATE(E66,VLOOKUP($B66,申込,3,TRUE))-1,"")</f>
        <v/>
      </c>
      <c r="G66" s="214"/>
      <c r="H66" s="240" t="str">
        <f t="shared" ref="H66:H129" ca="1" si="19">IF(D66&lt;&gt;"",(VLOOKUP(D66,user,2,FALSE)="error")*1,"")</f>
        <v/>
      </c>
    </row>
    <row r="67" spans="1:8">
      <c r="A67" s="211">
        <f t="shared" ref="A67:A130" si="20">IF(C67&lt;&gt;C66,1,A66+1)</f>
        <v>66</v>
      </c>
      <c r="B67" s="212">
        <f t="shared" si="10"/>
        <v>66</v>
      </c>
      <c r="C67" s="213" t="str">
        <f t="shared" si="16"/>
        <v/>
      </c>
      <c r="D67" s="134" t="str">
        <f t="shared" ca="1" si="17"/>
        <v/>
      </c>
      <c r="E67" s="214" t="str">
        <f>IF($B67&lt;=$N$14,申込書!$F$16,"")</f>
        <v/>
      </c>
      <c r="F67" s="214" t="str">
        <f t="shared" si="18"/>
        <v/>
      </c>
      <c r="G67" s="214"/>
      <c r="H67" s="240" t="str">
        <f t="shared" ca="1" si="19"/>
        <v/>
      </c>
    </row>
    <row r="68" spans="1:8">
      <c r="A68" s="211">
        <f t="shared" si="20"/>
        <v>67</v>
      </c>
      <c r="B68" s="212">
        <f t="shared" ref="B68:B131" si="21">B67+1</f>
        <v>67</v>
      </c>
      <c r="C68" s="213" t="str">
        <f t="shared" si="16"/>
        <v/>
      </c>
      <c r="D68" s="134" t="str">
        <f t="shared" ca="1" si="17"/>
        <v/>
      </c>
      <c r="E68" s="214" t="str">
        <f>IF($B68&lt;=$N$14,申込書!$F$16,"")</f>
        <v/>
      </c>
      <c r="F68" s="214" t="str">
        <f t="shared" si="18"/>
        <v/>
      </c>
      <c r="G68" s="214"/>
      <c r="H68" s="240" t="str">
        <f t="shared" ca="1" si="19"/>
        <v/>
      </c>
    </row>
    <row r="69" spans="1:8">
      <c r="A69" s="211">
        <f t="shared" si="20"/>
        <v>68</v>
      </c>
      <c r="B69" s="212">
        <f t="shared" si="21"/>
        <v>68</v>
      </c>
      <c r="C69" s="213" t="str">
        <f t="shared" si="16"/>
        <v/>
      </c>
      <c r="D69" s="134" t="str">
        <f t="shared" ca="1" si="17"/>
        <v/>
      </c>
      <c r="E69" s="214" t="str">
        <f>IF($B69&lt;=$N$14,申込書!$F$16,"")</f>
        <v/>
      </c>
      <c r="F69" s="214" t="str">
        <f t="shared" si="18"/>
        <v/>
      </c>
      <c r="G69" s="214"/>
      <c r="H69" s="240" t="str">
        <f t="shared" ca="1" si="19"/>
        <v/>
      </c>
    </row>
    <row r="70" spans="1:8">
      <c r="A70" s="211">
        <f t="shared" si="20"/>
        <v>69</v>
      </c>
      <c r="B70" s="212">
        <f t="shared" si="21"/>
        <v>69</v>
      </c>
      <c r="C70" s="213" t="str">
        <f t="shared" si="16"/>
        <v/>
      </c>
      <c r="D70" s="134" t="str">
        <f t="shared" ca="1" si="17"/>
        <v/>
      </c>
      <c r="E70" s="214" t="str">
        <f>IF($B70&lt;=$N$14,申込書!$F$16,"")</f>
        <v/>
      </c>
      <c r="F70" s="214" t="str">
        <f t="shared" si="18"/>
        <v/>
      </c>
      <c r="G70" s="214"/>
      <c r="H70" s="240" t="str">
        <f t="shared" ca="1" si="19"/>
        <v/>
      </c>
    </row>
    <row r="71" spans="1:8">
      <c r="A71" s="211">
        <f t="shared" si="20"/>
        <v>70</v>
      </c>
      <c r="B71" s="212">
        <f t="shared" si="21"/>
        <v>70</v>
      </c>
      <c r="C71" s="213" t="str">
        <f t="shared" si="16"/>
        <v/>
      </c>
      <c r="D71" s="134" t="str">
        <f t="shared" ca="1" si="17"/>
        <v/>
      </c>
      <c r="E71" s="214" t="str">
        <f>IF($B71&lt;=$N$14,申込書!$F$16,"")</f>
        <v/>
      </c>
      <c r="F71" s="214" t="str">
        <f t="shared" si="18"/>
        <v/>
      </c>
      <c r="G71" s="214"/>
      <c r="H71" s="240" t="str">
        <f t="shared" ca="1" si="19"/>
        <v/>
      </c>
    </row>
    <row r="72" spans="1:8">
      <c r="A72" s="211">
        <f t="shared" si="20"/>
        <v>71</v>
      </c>
      <c r="B72" s="212">
        <f t="shared" si="21"/>
        <v>71</v>
      </c>
      <c r="C72" s="213" t="str">
        <f t="shared" si="16"/>
        <v/>
      </c>
      <c r="D72" s="134" t="str">
        <f t="shared" ca="1" si="17"/>
        <v/>
      </c>
      <c r="E72" s="214" t="str">
        <f>IF($B72&lt;=$N$14,申込書!$F$16,"")</f>
        <v/>
      </c>
      <c r="F72" s="214" t="str">
        <f t="shared" si="18"/>
        <v/>
      </c>
      <c r="G72" s="214"/>
      <c r="H72" s="240" t="str">
        <f t="shared" ca="1" si="19"/>
        <v/>
      </c>
    </row>
    <row r="73" spans="1:8">
      <c r="A73" s="211">
        <f t="shared" si="20"/>
        <v>72</v>
      </c>
      <c r="B73" s="212">
        <f t="shared" si="21"/>
        <v>72</v>
      </c>
      <c r="C73" s="213" t="str">
        <f t="shared" si="16"/>
        <v/>
      </c>
      <c r="D73" s="134" t="str">
        <f t="shared" ca="1" si="17"/>
        <v/>
      </c>
      <c r="E73" s="214" t="str">
        <f>IF($B73&lt;=$N$14,申込書!$F$16,"")</f>
        <v/>
      </c>
      <c r="F73" s="214" t="str">
        <f t="shared" si="18"/>
        <v/>
      </c>
      <c r="G73" s="214"/>
      <c r="H73" s="240" t="str">
        <f t="shared" ca="1" si="19"/>
        <v/>
      </c>
    </row>
    <row r="74" spans="1:8">
      <c r="A74" s="211">
        <f t="shared" si="20"/>
        <v>73</v>
      </c>
      <c r="B74" s="212">
        <f t="shared" si="21"/>
        <v>73</v>
      </c>
      <c r="C74" s="213" t="str">
        <f t="shared" si="16"/>
        <v/>
      </c>
      <c r="D74" s="134" t="str">
        <f t="shared" ca="1" si="17"/>
        <v/>
      </c>
      <c r="E74" s="214" t="str">
        <f>IF($B74&lt;=$N$14,申込書!$F$16,"")</f>
        <v/>
      </c>
      <c r="F74" s="214" t="str">
        <f t="shared" si="18"/>
        <v/>
      </c>
      <c r="G74" s="214"/>
      <c r="H74" s="240" t="str">
        <f t="shared" ca="1" si="19"/>
        <v/>
      </c>
    </row>
    <row r="75" spans="1:8">
      <c r="A75" s="211">
        <f t="shared" si="20"/>
        <v>74</v>
      </c>
      <c r="B75" s="212">
        <f t="shared" si="21"/>
        <v>74</v>
      </c>
      <c r="C75" s="213" t="str">
        <f t="shared" si="16"/>
        <v/>
      </c>
      <c r="D75" s="134" t="str">
        <f t="shared" ca="1" si="17"/>
        <v/>
      </c>
      <c r="E75" s="214" t="str">
        <f>IF($B75&lt;=$N$14,申込書!$F$16,"")</f>
        <v/>
      </c>
      <c r="F75" s="214" t="str">
        <f t="shared" si="18"/>
        <v/>
      </c>
      <c r="G75" s="214"/>
      <c r="H75" s="240" t="str">
        <f t="shared" ca="1" si="19"/>
        <v/>
      </c>
    </row>
    <row r="76" spans="1:8">
      <c r="A76" s="211">
        <f t="shared" si="20"/>
        <v>75</v>
      </c>
      <c r="B76" s="212">
        <f t="shared" si="21"/>
        <v>75</v>
      </c>
      <c r="C76" s="213" t="str">
        <f t="shared" si="16"/>
        <v/>
      </c>
      <c r="D76" s="134" t="str">
        <f t="shared" ca="1" si="17"/>
        <v/>
      </c>
      <c r="E76" s="214" t="str">
        <f>IF($B76&lt;=$N$14,申込書!$F$16,"")</f>
        <v/>
      </c>
      <c r="F76" s="214" t="str">
        <f t="shared" si="18"/>
        <v/>
      </c>
      <c r="G76" s="214"/>
      <c r="H76" s="240" t="str">
        <f t="shared" ca="1" si="19"/>
        <v/>
      </c>
    </row>
    <row r="77" spans="1:8">
      <c r="A77" s="211">
        <f t="shared" si="20"/>
        <v>76</v>
      </c>
      <c r="B77" s="212">
        <f t="shared" si="21"/>
        <v>76</v>
      </c>
      <c r="C77" s="213" t="str">
        <f t="shared" si="16"/>
        <v/>
      </c>
      <c r="D77" s="134" t="str">
        <f t="shared" ca="1" si="17"/>
        <v/>
      </c>
      <c r="E77" s="214" t="str">
        <f>IF($B77&lt;=$N$14,申込書!$F$16,"")</f>
        <v/>
      </c>
      <c r="F77" s="214" t="str">
        <f t="shared" si="18"/>
        <v/>
      </c>
      <c r="G77" s="214"/>
      <c r="H77" s="240" t="str">
        <f t="shared" ca="1" si="19"/>
        <v/>
      </c>
    </row>
    <row r="78" spans="1:8">
      <c r="A78" s="211">
        <f t="shared" si="20"/>
        <v>77</v>
      </c>
      <c r="B78" s="212">
        <f t="shared" si="21"/>
        <v>77</v>
      </c>
      <c r="C78" s="213" t="str">
        <f t="shared" si="16"/>
        <v/>
      </c>
      <c r="D78" s="134" t="str">
        <f t="shared" ca="1" si="17"/>
        <v/>
      </c>
      <c r="E78" s="214" t="str">
        <f>IF($B78&lt;=$N$14,申込書!$F$16,"")</f>
        <v/>
      </c>
      <c r="F78" s="214" t="str">
        <f t="shared" si="18"/>
        <v/>
      </c>
      <c r="G78" s="214"/>
      <c r="H78" s="240" t="str">
        <f t="shared" ca="1" si="19"/>
        <v/>
      </c>
    </row>
    <row r="79" spans="1:8">
      <c r="A79" s="211">
        <f t="shared" si="20"/>
        <v>78</v>
      </c>
      <c r="B79" s="212">
        <f t="shared" si="21"/>
        <v>78</v>
      </c>
      <c r="C79" s="213" t="str">
        <f t="shared" si="16"/>
        <v/>
      </c>
      <c r="D79" s="134" t="str">
        <f t="shared" ca="1" si="17"/>
        <v/>
      </c>
      <c r="E79" s="214" t="str">
        <f>IF($B79&lt;=$N$14,申込書!$F$16,"")</f>
        <v/>
      </c>
      <c r="F79" s="214" t="str">
        <f t="shared" si="18"/>
        <v/>
      </c>
      <c r="G79" s="214"/>
      <c r="H79" s="240" t="str">
        <f t="shared" ca="1" si="19"/>
        <v/>
      </c>
    </row>
    <row r="80" spans="1:8">
      <c r="A80" s="211">
        <f t="shared" si="20"/>
        <v>79</v>
      </c>
      <c r="B80" s="212">
        <f t="shared" si="21"/>
        <v>79</v>
      </c>
      <c r="C80" s="213" t="str">
        <f t="shared" si="16"/>
        <v/>
      </c>
      <c r="D80" s="134" t="str">
        <f t="shared" ca="1" si="17"/>
        <v/>
      </c>
      <c r="E80" s="214" t="str">
        <f>IF($B80&lt;=$N$14,申込書!$F$16,"")</f>
        <v/>
      </c>
      <c r="F80" s="214" t="str">
        <f t="shared" si="18"/>
        <v/>
      </c>
      <c r="G80" s="214"/>
      <c r="H80" s="240" t="str">
        <f t="shared" ca="1" si="19"/>
        <v/>
      </c>
    </row>
    <row r="81" spans="1:8">
      <c r="A81" s="211">
        <f t="shared" si="20"/>
        <v>80</v>
      </c>
      <c r="B81" s="212">
        <f t="shared" si="21"/>
        <v>80</v>
      </c>
      <c r="C81" s="213" t="str">
        <f t="shared" si="16"/>
        <v/>
      </c>
      <c r="D81" s="134" t="str">
        <f t="shared" ca="1" si="17"/>
        <v/>
      </c>
      <c r="E81" s="214" t="str">
        <f>IF($B81&lt;=$N$14,申込書!$F$16,"")</f>
        <v/>
      </c>
      <c r="F81" s="214" t="str">
        <f t="shared" si="18"/>
        <v/>
      </c>
      <c r="G81" s="214"/>
      <c r="H81" s="240" t="str">
        <f t="shared" ca="1" si="19"/>
        <v/>
      </c>
    </row>
    <row r="82" spans="1:8">
      <c r="A82" s="211">
        <f t="shared" si="20"/>
        <v>81</v>
      </c>
      <c r="B82" s="212">
        <f t="shared" si="21"/>
        <v>81</v>
      </c>
      <c r="C82" s="213" t="str">
        <f t="shared" si="16"/>
        <v/>
      </c>
      <c r="D82" s="134" t="str">
        <f t="shared" ca="1" si="17"/>
        <v/>
      </c>
      <c r="E82" s="214" t="str">
        <f>IF($B82&lt;=$N$14,申込書!$F$16,"")</f>
        <v/>
      </c>
      <c r="F82" s="214" t="str">
        <f t="shared" si="18"/>
        <v/>
      </c>
      <c r="G82" s="214"/>
      <c r="H82" s="240" t="str">
        <f t="shared" ca="1" si="19"/>
        <v/>
      </c>
    </row>
    <row r="83" spans="1:8">
      <c r="A83" s="211">
        <f t="shared" si="20"/>
        <v>82</v>
      </c>
      <c r="B83" s="212">
        <f t="shared" si="21"/>
        <v>82</v>
      </c>
      <c r="C83" s="213" t="str">
        <f t="shared" si="16"/>
        <v/>
      </c>
      <c r="D83" s="134" t="str">
        <f t="shared" ca="1" si="17"/>
        <v/>
      </c>
      <c r="E83" s="214" t="str">
        <f>IF($B83&lt;=$N$14,申込書!$F$16,"")</f>
        <v/>
      </c>
      <c r="F83" s="214" t="str">
        <f t="shared" si="18"/>
        <v/>
      </c>
      <c r="G83" s="214"/>
      <c r="H83" s="240" t="str">
        <f t="shared" ca="1" si="19"/>
        <v/>
      </c>
    </row>
    <row r="84" spans="1:8">
      <c r="A84" s="211">
        <f t="shared" si="20"/>
        <v>83</v>
      </c>
      <c r="B84" s="212">
        <f t="shared" si="21"/>
        <v>83</v>
      </c>
      <c r="C84" s="213" t="str">
        <f t="shared" si="16"/>
        <v/>
      </c>
      <c r="D84" s="134" t="str">
        <f t="shared" ca="1" si="17"/>
        <v/>
      </c>
      <c r="E84" s="214" t="str">
        <f>IF($B84&lt;=$N$14,申込書!$F$16,"")</f>
        <v/>
      </c>
      <c r="F84" s="214" t="str">
        <f t="shared" si="18"/>
        <v/>
      </c>
      <c r="G84" s="214"/>
      <c r="H84" s="240" t="str">
        <f t="shared" ca="1" si="19"/>
        <v/>
      </c>
    </row>
    <row r="85" spans="1:8">
      <c r="A85" s="211">
        <f t="shared" si="20"/>
        <v>84</v>
      </c>
      <c r="B85" s="212">
        <f t="shared" si="21"/>
        <v>84</v>
      </c>
      <c r="C85" s="213" t="str">
        <f t="shared" si="16"/>
        <v/>
      </c>
      <c r="D85" s="134" t="str">
        <f t="shared" ca="1" si="17"/>
        <v/>
      </c>
      <c r="E85" s="214" t="str">
        <f>IF($B85&lt;=$N$14,申込書!$F$16,"")</f>
        <v/>
      </c>
      <c r="F85" s="214" t="str">
        <f t="shared" si="18"/>
        <v/>
      </c>
      <c r="G85" s="214"/>
      <c r="H85" s="240" t="str">
        <f t="shared" ca="1" si="19"/>
        <v/>
      </c>
    </row>
    <row r="86" spans="1:8">
      <c r="A86" s="211">
        <f t="shared" si="20"/>
        <v>85</v>
      </c>
      <c r="B86" s="212">
        <f t="shared" si="21"/>
        <v>85</v>
      </c>
      <c r="C86" s="213" t="str">
        <f t="shared" si="16"/>
        <v/>
      </c>
      <c r="D86" s="134" t="str">
        <f t="shared" ca="1" si="17"/>
        <v/>
      </c>
      <c r="E86" s="214" t="str">
        <f>IF($B86&lt;=$N$14,申込書!$F$16,"")</f>
        <v/>
      </c>
      <c r="F86" s="214" t="str">
        <f t="shared" si="18"/>
        <v/>
      </c>
      <c r="G86" s="214"/>
      <c r="H86" s="240" t="str">
        <f t="shared" ca="1" si="19"/>
        <v/>
      </c>
    </row>
    <row r="87" spans="1:8">
      <c r="A87" s="211">
        <f t="shared" si="20"/>
        <v>86</v>
      </c>
      <c r="B87" s="212">
        <f t="shared" si="21"/>
        <v>86</v>
      </c>
      <c r="C87" s="213" t="str">
        <f t="shared" si="16"/>
        <v/>
      </c>
      <c r="D87" s="134" t="str">
        <f t="shared" ca="1" si="17"/>
        <v/>
      </c>
      <c r="E87" s="214" t="str">
        <f>IF($B87&lt;=$N$14,申込書!$F$16,"")</f>
        <v/>
      </c>
      <c r="F87" s="214" t="str">
        <f t="shared" si="18"/>
        <v/>
      </c>
      <c r="G87" s="214"/>
      <c r="H87" s="240" t="str">
        <f t="shared" ca="1" si="19"/>
        <v/>
      </c>
    </row>
    <row r="88" spans="1:8">
      <c r="A88" s="211">
        <f t="shared" si="20"/>
        <v>87</v>
      </c>
      <c r="B88" s="212">
        <f t="shared" si="21"/>
        <v>87</v>
      </c>
      <c r="C88" s="213" t="str">
        <f t="shared" si="16"/>
        <v/>
      </c>
      <c r="D88" s="134" t="str">
        <f t="shared" ca="1" si="17"/>
        <v/>
      </c>
      <c r="E88" s="214" t="str">
        <f>IF($B88&lt;=$N$14,申込書!$F$16,"")</f>
        <v/>
      </c>
      <c r="F88" s="214" t="str">
        <f t="shared" si="18"/>
        <v/>
      </c>
      <c r="G88" s="214"/>
      <c r="H88" s="240" t="str">
        <f t="shared" ca="1" si="19"/>
        <v/>
      </c>
    </row>
    <row r="89" spans="1:8">
      <c r="A89" s="211">
        <f t="shared" si="20"/>
        <v>88</v>
      </c>
      <c r="B89" s="212">
        <f t="shared" si="21"/>
        <v>88</v>
      </c>
      <c r="C89" s="213" t="str">
        <f t="shared" si="16"/>
        <v/>
      </c>
      <c r="D89" s="134" t="str">
        <f t="shared" ca="1" si="17"/>
        <v/>
      </c>
      <c r="E89" s="214" t="str">
        <f>IF($B89&lt;=$N$14,申込書!$F$16,"")</f>
        <v/>
      </c>
      <c r="F89" s="214" t="str">
        <f t="shared" si="18"/>
        <v/>
      </c>
      <c r="G89" s="214"/>
      <c r="H89" s="240" t="str">
        <f t="shared" ca="1" si="19"/>
        <v/>
      </c>
    </row>
    <row r="90" spans="1:8">
      <c r="A90" s="211">
        <f t="shared" si="20"/>
        <v>89</v>
      </c>
      <c r="B90" s="212">
        <f t="shared" si="21"/>
        <v>89</v>
      </c>
      <c r="C90" s="213" t="str">
        <f t="shared" si="16"/>
        <v/>
      </c>
      <c r="D90" s="134" t="str">
        <f t="shared" ca="1" si="17"/>
        <v/>
      </c>
      <c r="E90" s="214" t="str">
        <f>IF($B90&lt;=$N$14,申込書!$F$16,"")</f>
        <v/>
      </c>
      <c r="F90" s="214" t="str">
        <f t="shared" si="18"/>
        <v/>
      </c>
      <c r="G90" s="214"/>
      <c r="H90" s="240" t="str">
        <f t="shared" ca="1" si="19"/>
        <v/>
      </c>
    </row>
    <row r="91" spans="1:8">
      <c r="A91" s="211">
        <f t="shared" si="20"/>
        <v>90</v>
      </c>
      <c r="B91" s="212">
        <f t="shared" si="21"/>
        <v>90</v>
      </c>
      <c r="C91" s="213" t="str">
        <f t="shared" si="16"/>
        <v/>
      </c>
      <c r="D91" s="134" t="str">
        <f t="shared" ca="1" si="17"/>
        <v/>
      </c>
      <c r="E91" s="214" t="str">
        <f>IF($B91&lt;=$N$14,申込書!$F$16,"")</f>
        <v/>
      </c>
      <c r="F91" s="214" t="str">
        <f t="shared" si="18"/>
        <v/>
      </c>
      <c r="G91" s="214"/>
      <c r="H91" s="240" t="str">
        <f t="shared" ca="1" si="19"/>
        <v/>
      </c>
    </row>
    <row r="92" spans="1:8">
      <c r="A92" s="211">
        <f t="shared" si="20"/>
        <v>91</v>
      </c>
      <c r="B92" s="212">
        <f t="shared" si="21"/>
        <v>91</v>
      </c>
      <c r="C92" s="213" t="str">
        <f t="shared" si="16"/>
        <v/>
      </c>
      <c r="D92" s="134" t="str">
        <f t="shared" ca="1" si="17"/>
        <v/>
      </c>
      <c r="E92" s="214" t="str">
        <f>IF($B92&lt;=$N$14,申込書!$F$16,"")</f>
        <v/>
      </c>
      <c r="F92" s="214" t="str">
        <f t="shared" si="18"/>
        <v/>
      </c>
      <c r="G92" s="214"/>
      <c r="H92" s="240" t="str">
        <f t="shared" ca="1" si="19"/>
        <v/>
      </c>
    </row>
    <row r="93" spans="1:8">
      <c r="A93" s="211">
        <f t="shared" si="20"/>
        <v>92</v>
      </c>
      <c r="B93" s="212">
        <f t="shared" si="21"/>
        <v>92</v>
      </c>
      <c r="C93" s="213" t="str">
        <f t="shared" si="16"/>
        <v/>
      </c>
      <c r="D93" s="134" t="str">
        <f t="shared" ca="1" si="17"/>
        <v/>
      </c>
      <c r="E93" s="214" t="str">
        <f>IF($B93&lt;=$N$14,申込書!$F$16,"")</f>
        <v/>
      </c>
      <c r="F93" s="214" t="str">
        <f t="shared" si="18"/>
        <v/>
      </c>
      <c r="G93" s="214"/>
      <c r="H93" s="240" t="str">
        <f t="shared" ca="1" si="19"/>
        <v/>
      </c>
    </row>
    <row r="94" spans="1:8">
      <c r="A94" s="211">
        <f t="shared" si="20"/>
        <v>93</v>
      </c>
      <c r="B94" s="212">
        <f t="shared" si="21"/>
        <v>93</v>
      </c>
      <c r="C94" s="213" t="str">
        <f t="shared" si="16"/>
        <v/>
      </c>
      <c r="D94" s="134" t="str">
        <f t="shared" ca="1" si="17"/>
        <v/>
      </c>
      <c r="E94" s="214" t="str">
        <f>IF($B94&lt;=$N$14,申込書!$F$16,"")</f>
        <v/>
      </c>
      <c r="F94" s="214" t="str">
        <f t="shared" si="18"/>
        <v/>
      </c>
      <c r="G94" s="214"/>
      <c r="H94" s="240" t="str">
        <f t="shared" ca="1" si="19"/>
        <v/>
      </c>
    </row>
    <row r="95" spans="1:8">
      <c r="A95" s="211">
        <f t="shared" si="20"/>
        <v>94</v>
      </c>
      <c r="B95" s="212">
        <f t="shared" si="21"/>
        <v>94</v>
      </c>
      <c r="C95" s="213" t="str">
        <f t="shared" si="16"/>
        <v/>
      </c>
      <c r="D95" s="134" t="str">
        <f t="shared" ca="1" si="17"/>
        <v/>
      </c>
      <c r="E95" s="214" t="str">
        <f>IF($B95&lt;=$N$14,申込書!$F$16,"")</f>
        <v/>
      </c>
      <c r="F95" s="214" t="str">
        <f t="shared" si="18"/>
        <v/>
      </c>
      <c r="G95" s="214"/>
      <c r="H95" s="240" t="str">
        <f t="shared" ca="1" si="19"/>
        <v/>
      </c>
    </row>
    <row r="96" spans="1:8">
      <c r="A96" s="211">
        <f t="shared" si="20"/>
        <v>95</v>
      </c>
      <c r="B96" s="212">
        <f t="shared" si="21"/>
        <v>95</v>
      </c>
      <c r="C96" s="213" t="str">
        <f t="shared" si="16"/>
        <v/>
      </c>
      <c r="D96" s="134" t="str">
        <f t="shared" ca="1" si="17"/>
        <v/>
      </c>
      <c r="E96" s="214" t="str">
        <f>IF($B96&lt;=$N$14,申込書!$F$16,"")</f>
        <v/>
      </c>
      <c r="F96" s="214" t="str">
        <f t="shared" si="18"/>
        <v/>
      </c>
      <c r="G96" s="214"/>
      <c r="H96" s="240" t="str">
        <f t="shared" ca="1" si="19"/>
        <v/>
      </c>
    </row>
    <row r="97" spans="1:8">
      <c r="A97" s="211">
        <f t="shared" si="20"/>
        <v>96</v>
      </c>
      <c r="B97" s="212">
        <f t="shared" si="21"/>
        <v>96</v>
      </c>
      <c r="C97" s="213" t="str">
        <f t="shared" si="16"/>
        <v/>
      </c>
      <c r="D97" s="134" t="str">
        <f t="shared" ca="1" si="17"/>
        <v/>
      </c>
      <c r="E97" s="214" t="str">
        <f>IF($B97&lt;=$N$14,申込書!$F$16,"")</f>
        <v/>
      </c>
      <c r="F97" s="214" t="str">
        <f t="shared" si="18"/>
        <v/>
      </c>
      <c r="G97" s="214"/>
      <c r="H97" s="240" t="str">
        <f t="shared" ca="1" si="19"/>
        <v/>
      </c>
    </row>
    <row r="98" spans="1:8">
      <c r="A98" s="211">
        <f t="shared" si="20"/>
        <v>97</v>
      </c>
      <c r="B98" s="212">
        <f t="shared" si="21"/>
        <v>97</v>
      </c>
      <c r="C98" s="213" t="str">
        <f t="shared" si="16"/>
        <v/>
      </c>
      <c r="D98" s="134" t="str">
        <f t="shared" ca="1" si="17"/>
        <v/>
      </c>
      <c r="E98" s="214" t="str">
        <f>IF($B98&lt;=$N$14,申込書!$F$16,"")</f>
        <v/>
      </c>
      <c r="F98" s="214" t="str">
        <f t="shared" si="18"/>
        <v/>
      </c>
      <c r="G98" s="214"/>
      <c r="H98" s="240" t="str">
        <f t="shared" ca="1" si="19"/>
        <v/>
      </c>
    </row>
    <row r="99" spans="1:8">
      <c r="A99" s="211">
        <f t="shared" si="20"/>
        <v>98</v>
      </c>
      <c r="B99" s="212">
        <f t="shared" si="21"/>
        <v>98</v>
      </c>
      <c r="C99" s="213" t="str">
        <f t="shared" si="16"/>
        <v/>
      </c>
      <c r="D99" s="134" t="str">
        <f t="shared" ca="1" si="17"/>
        <v/>
      </c>
      <c r="E99" s="214" t="str">
        <f>IF($B99&lt;=$N$14,申込書!$F$16,"")</f>
        <v/>
      </c>
      <c r="F99" s="214" t="str">
        <f t="shared" si="18"/>
        <v/>
      </c>
      <c r="G99" s="214"/>
      <c r="H99" s="240" t="str">
        <f t="shared" ca="1" si="19"/>
        <v/>
      </c>
    </row>
    <row r="100" spans="1:8">
      <c r="A100" s="211">
        <f t="shared" si="20"/>
        <v>99</v>
      </c>
      <c r="B100" s="212">
        <f t="shared" si="21"/>
        <v>99</v>
      </c>
      <c r="C100" s="213" t="str">
        <f t="shared" si="16"/>
        <v/>
      </c>
      <c r="D100" s="134" t="str">
        <f t="shared" ca="1" si="17"/>
        <v/>
      </c>
      <c r="E100" s="214" t="str">
        <f>IF($B100&lt;=$N$14,申込書!$F$16,"")</f>
        <v/>
      </c>
      <c r="F100" s="214" t="str">
        <f t="shared" si="18"/>
        <v/>
      </c>
      <c r="G100" s="214"/>
      <c r="H100" s="240" t="str">
        <f t="shared" ca="1" si="19"/>
        <v/>
      </c>
    </row>
    <row r="101" spans="1:8">
      <c r="A101" s="211">
        <f t="shared" si="20"/>
        <v>100</v>
      </c>
      <c r="B101" s="212">
        <f t="shared" si="21"/>
        <v>100</v>
      </c>
      <c r="C101" s="213" t="str">
        <f t="shared" si="16"/>
        <v/>
      </c>
      <c r="D101" s="134" t="str">
        <f t="shared" ca="1" si="17"/>
        <v/>
      </c>
      <c r="E101" s="214" t="str">
        <f>IF($B101&lt;=$N$14,申込書!$F$16,"")</f>
        <v/>
      </c>
      <c r="F101" s="214" t="str">
        <f t="shared" si="18"/>
        <v/>
      </c>
      <c r="G101" s="214"/>
      <c r="H101" s="240" t="str">
        <f t="shared" ca="1" si="19"/>
        <v/>
      </c>
    </row>
    <row r="102" spans="1:8">
      <c r="A102" s="211">
        <f t="shared" si="20"/>
        <v>101</v>
      </c>
      <c r="B102" s="212">
        <f t="shared" si="21"/>
        <v>101</v>
      </c>
      <c r="C102" s="213" t="str">
        <f t="shared" si="16"/>
        <v/>
      </c>
      <c r="D102" s="134" t="str">
        <f t="shared" ca="1" si="17"/>
        <v/>
      </c>
      <c r="E102" s="214" t="str">
        <f>IF($B102&lt;=$N$14,申込書!$F$16,"")</f>
        <v/>
      </c>
      <c r="F102" s="214" t="str">
        <f t="shared" si="18"/>
        <v/>
      </c>
      <c r="G102" s="214"/>
      <c r="H102" s="240" t="str">
        <f t="shared" ca="1" si="19"/>
        <v/>
      </c>
    </row>
    <row r="103" spans="1:8">
      <c r="A103" s="211">
        <f t="shared" si="20"/>
        <v>102</v>
      </c>
      <c r="B103" s="212">
        <f t="shared" si="21"/>
        <v>102</v>
      </c>
      <c r="C103" s="213" t="str">
        <f t="shared" si="16"/>
        <v/>
      </c>
      <c r="D103" s="134" t="str">
        <f t="shared" ca="1" si="17"/>
        <v/>
      </c>
      <c r="E103" s="214" t="str">
        <f>IF($B103&lt;=$N$14,申込書!$F$16,"")</f>
        <v/>
      </c>
      <c r="F103" s="214" t="str">
        <f t="shared" si="18"/>
        <v/>
      </c>
      <c r="G103" s="214"/>
      <c r="H103" s="240" t="str">
        <f t="shared" ca="1" si="19"/>
        <v/>
      </c>
    </row>
    <row r="104" spans="1:8">
      <c r="A104" s="211">
        <f t="shared" si="20"/>
        <v>103</v>
      </c>
      <c r="B104" s="212">
        <f t="shared" si="21"/>
        <v>103</v>
      </c>
      <c r="C104" s="213" t="str">
        <f t="shared" si="16"/>
        <v/>
      </c>
      <c r="D104" s="134" t="str">
        <f t="shared" ca="1" si="17"/>
        <v/>
      </c>
      <c r="E104" s="214" t="str">
        <f>IF($B104&lt;=$N$14,申込書!$F$16,"")</f>
        <v/>
      </c>
      <c r="F104" s="214" t="str">
        <f t="shared" si="18"/>
        <v/>
      </c>
      <c r="G104" s="214"/>
      <c r="H104" s="240" t="str">
        <f t="shared" ca="1" si="19"/>
        <v/>
      </c>
    </row>
    <row r="105" spans="1:8">
      <c r="A105" s="211">
        <f t="shared" si="20"/>
        <v>104</v>
      </c>
      <c r="B105" s="212">
        <f t="shared" si="21"/>
        <v>104</v>
      </c>
      <c r="C105" s="213" t="str">
        <f t="shared" si="16"/>
        <v/>
      </c>
      <c r="D105" s="134" t="str">
        <f t="shared" ca="1" si="17"/>
        <v/>
      </c>
      <c r="E105" s="214" t="str">
        <f>IF($B105&lt;=$N$14,申込書!$F$16,"")</f>
        <v/>
      </c>
      <c r="F105" s="214" t="str">
        <f t="shared" si="18"/>
        <v/>
      </c>
      <c r="G105" s="214"/>
      <c r="H105" s="240" t="str">
        <f t="shared" ca="1" si="19"/>
        <v/>
      </c>
    </row>
    <row r="106" spans="1:8">
      <c r="A106" s="211">
        <f t="shared" si="20"/>
        <v>105</v>
      </c>
      <c r="B106" s="212">
        <f t="shared" si="21"/>
        <v>105</v>
      </c>
      <c r="C106" s="213" t="str">
        <f t="shared" si="16"/>
        <v/>
      </c>
      <c r="D106" s="134" t="str">
        <f t="shared" ca="1" si="17"/>
        <v/>
      </c>
      <c r="E106" s="214" t="str">
        <f>IF($B106&lt;=$N$14,申込書!$F$16,"")</f>
        <v/>
      </c>
      <c r="F106" s="214" t="str">
        <f t="shared" si="18"/>
        <v/>
      </c>
      <c r="G106" s="214"/>
      <c r="H106" s="240" t="str">
        <f t="shared" ca="1" si="19"/>
        <v/>
      </c>
    </row>
    <row r="107" spans="1:8">
      <c r="A107" s="211">
        <f t="shared" si="20"/>
        <v>106</v>
      </c>
      <c r="B107" s="212">
        <f t="shared" si="21"/>
        <v>106</v>
      </c>
      <c r="C107" s="213" t="str">
        <f t="shared" si="16"/>
        <v/>
      </c>
      <c r="D107" s="134" t="str">
        <f t="shared" ca="1" si="17"/>
        <v/>
      </c>
      <c r="E107" s="214" t="str">
        <f>IF($B107&lt;=$N$14,申込書!$F$16,"")</f>
        <v/>
      </c>
      <c r="F107" s="214" t="str">
        <f t="shared" si="18"/>
        <v/>
      </c>
      <c r="G107" s="214"/>
      <c r="H107" s="240" t="str">
        <f t="shared" ca="1" si="19"/>
        <v/>
      </c>
    </row>
    <row r="108" spans="1:8">
      <c r="A108" s="211">
        <f t="shared" si="20"/>
        <v>107</v>
      </c>
      <c r="B108" s="212">
        <f t="shared" si="21"/>
        <v>107</v>
      </c>
      <c r="C108" s="213" t="str">
        <f t="shared" si="16"/>
        <v/>
      </c>
      <c r="D108" s="134" t="str">
        <f t="shared" ca="1" si="17"/>
        <v/>
      </c>
      <c r="E108" s="214" t="str">
        <f>IF($B108&lt;=$N$14,申込書!$F$16,"")</f>
        <v/>
      </c>
      <c r="F108" s="214" t="str">
        <f t="shared" si="18"/>
        <v/>
      </c>
      <c r="G108" s="214"/>
      <c r="H108" s="240" t="str">
        <f t="shared" ca="1" si="19"/>
        <v/>
      </c>
    </row>
    <row r="109" spans="1:8">
      <c r="A109" s="211">
        <f t="shared" si="20"/>
        <v>108</v>
      </c>
      <c r="B109" s="212">
        <f t="shared" si="21"/>
        <v>108</v>
      </c>
      <c r="C109" s="213" t="str">
        <f t="shared" si="16"/>
        <v/>
      </c>
      <c r="D109" s="134" t="str">
        <f t="shared" ca="1" si="17"/>
        <v/>
      </c>
      <c r="E109" s="214" t="str">
        <f>IF($B109&lt;=$N$14,申込書!$F$16,"")</f>
        <v/>
      </c>
      <c r="F109" s="214" t="str">
        <f t="shared" si="18"/>
        <v/>
      </c>
      <c r="G109" s="214"/>
      <c r="H109" s="240" t="str">
        <f t="shared" ca="1" si="19"/>
        <v/>
      </c>
    </row>
    <row r="110" spans="1:8">
      <c r="A110" s="211">
        <f t="shared" si="20"/>
        <v>109</v>
      </c>
      <c r="B110" s="212">
        <f t="shared" si="21"/>
        <v>109</v>
      </c>
      <c r="C110" s="213" t="str">
        <f t="shared" si="16"/>
        <v/>
      </c>
      <c r="D110" s="134" t="str">
        <f t="shared" ca="1" si="17"/>
        <v/>
      </c>
      <c r="E110" s="214" t="str">
        <f>IF($B110&lt;=$N$14,申込書!$F$16,"")</f>
        <v/>
      </c>
      <c r="F110" s="214" t="str">
        <f t="shared" si="18"/>
        <v/>
      </c>
      <c r="G110" s="214"/>
      <c r="H110" s="240" t="str">
        <f t="shared" ca="1" si="19"/>
        <v/>
      </c>
    </row>
    <row r="111" spans="1:8">
      <c r="A111" s="211">
        <f t="shared" si="20"/>
        <v>110</v>
      </c>
      <c r="B111" s="212">
        <f t="shared" si="21"/>
        <v>110</v>
      </c>
      <c r="C111" s="213" t="str">
        <f t="shared" si="16"/>
        <v/>
      </c>
      <c r="D111" s="134" t="str">
        <f t="shared" ca="1" si="17"/>
        <v/>
      </c>
      <c r="E111" s="214" t="str">
        <f>IF($B111&lt;=$N$14,申込書!$F$16,"")</f>
        <v/>
      </c>
      <c r="F111" s="214" t="str">
        <f t="shared" si="18"/>
        <v/>
      </c>
      <c r="G111" s="214"/>
      <c r="H111" s="240" t="str">
        <f t="shared" ca="1" si="19"/>
        <v/>
      </c>
    </row>
    <row r="112" spans="1:8">
      <c r="A112" s="211">
        <f t="shared" si="20"/>
        <v>111</v>
      </c>
      <c r="B112" s="212">
        <f t="shared" si="21"/>
        <v>111</v>
      </c>
      <c r="C112" s="213" t="str">
        <f t="shared" si="16"/>
        <v/>
      </c>
      <c r="D112" s="134" t="str">
        <f t="shared" ca="1" si="17"/>
        <v/>
      </c>
      <c r="E112" s="214" t="str">
        <f>IF($B112&lt;=$N$14,申込書!$F$16,"")</f>
        <v/>
      </c>
      <c r="F112" s="214" t="str">
        <f t="shared" si="18"/>
        <v/>
      </c>
      <c r="G112" s="214"/>
      <c r="H112" s="240" t="str">
        <f t="shared" ca="1" si="19"/>
        <v/>
      </c>
    </row>
    <row r="113" spans="1:8">
      <c r="A113" s="211">
        <f t="shared" si="20"/>
        <v>112</v>
      </c>
      <c r="B113" s="212">
        <f t="shared" si="21"/>
        <v>112</v>
      </c>
      <c r="C113" s="213" t="str">
        <f t="shared" si="16"/>
        <v/>
      </c>
      <c r="D113" s="134" t="str">
        <f t="shared" ca="1" si="17"/>
        <v/>
      </c>
      <c r="E113" s="214" t="str">
        <f>IF($B113&lt;=$N$14,申込書!$F$16,"")</f>
        <v/>
      </c>
      <c r="F113" s="214" t="str">
        <f t="shared" si="18"/>
        <v/>
      </c>
      <c r="G113" s="214"/>
      <c r="H113" s="240" t="str">
        <f t="shared" ca="1" si="19"/>
        <v/>
      </c>
    </row>
    <row r="114" spans="1:8">
      <c r="A114" s="211">
        <f t="shared" si="20"/>
        <v>113</v>
      </c>
      <c r="B114" s="212">
        <f t="shared" si="21"/>
        <v>113</v>
      </c>
      <c r="C114" s="213" t="str">
        <f t="shared" si="16"/>
        <v/>
      </c>
      <c r="D114" s="134" t="str">
        <f t="shared" ca="1" si="17"/>
        <v/>
      </c>
      <c r="E114" s="214" t="str">
        <f>IF($B114&lt;=$N$14,申込書!$F$16,"")</f>
        <v/>
      </c>
      <c r="F114" s="214" t="str">
        <f t="shared" si="18"/>
        <v/>
      </c>
      <c r="G114" s="214"/>
      <c r="H114" s="240" t="str">
        <f t="shared" ca="1" si="19"/>
        <v/>
      </c>
    </row>
    <row r="115" spans="1:8">
      <c r="A115" s="211">
        <f t="shared" si="20"/>
        <v>114</v>
      </c>
      <c r="B115" s="212">
        <f t="shared" si="21"/>
        <v>114</v>
      </c>
      <c r="C115" s="213" t="str">
        <f t="shared" si="16"/>
        <v/>
      </c>
      <c r="D115" s="134" t="str">
        <f t="shared" ca="1" si="17"/>
        <v/>
      </c>
      <c r="E115" s="214" t="str">
        <f>IF($B115&lt;=$N$14,申込書!$F$16,"")</f>
        <v/>
      </c>
      <c r="F115" s="214" t="str">
        <f t="shared" si="18"/>
        <v/>
      </c>
      <c r="G115" s="214"/>
      <c r="H115" s="240" t="str">
        <f t="shared" ca="1" si="19"/>
        <v/>
      </c>
    </row>
    <row r="116" spans="1:8">
      <c r="A116" s="211">
        <f t="shared" si="20"/>
        <v>115</v>
      </c>
      <c r="B116" s="212">
        <f t="shared" si="21"/>
        <v>115</v>
      </c>
      <c r="C116" s="213" t="str">
        <f t="shared" si="16"/>
        <v/>
      </c>
      <c r="D116" s="134" t="str">
        <f t="shared" ca="1" si="17"/>
        <v/>
      </c>
      <c r="E116" s="214" t="str">
        <f>IF($B116&lt;=$N$14,申込書!$F$16,"")</f>
        <v/>
      </c>
      <c r="F116" s="214" t="str">
        <f t="shared" si="18"/>
        <v/>
      </c>
      <c r="G116" s="214"/>
      <c r="H116" s="240" t="str">
        <f t="shared" ca="1" si="19"/>
        <v/>
      </c>
    </row>
    <row r="117" spans="1:8">
      <c r="A117" s="211">
        <f t="shared" si="20"/>
        <v>116</v>
      </c>
      <c r="B117" s="212">
        <f t="shared" si="21"/>
        <v>116</v>
      </c>
      <c r="C117" s="213" t="str">
        <f t="shared" si="16"/>
        <v/>
      </c>
      <c r="D117" s="134" t="str">
        <f t="shared" ca="1" si="17"/>
        <v/>
      </c>
      <c r="E117" s="214" t="str">
        <f>IF($B117&lt;=$N$14,申込書!$F$16,"")</f>
        <v/>
      </c>
      <c r="F117" s="214" t="str">
        <f t="shared" si="18"/>
        <v/>
      </c>
      <c r="G117" s="214"/>
      <c r="H117" s="240" t="str">
        <f t="shared" ca="1" si="19"/>
        <v/>
      </c>
    </row>
    <row r="118" spans="1:8">
      <c r="A118" s="211">
        <f t="shared" si="20"/>
        <v>117</v>
      </c>
      <c r="B118" s="212">
        <f t="shared" si="21"/>
        <v>117</v>
      </c>
      <c r="C118" s="213" t="str">
        <f t="shared" si="16"/>
        <v/>
      </c>
      <c r="D118" s="134" t="str">
        <f t="shared" ca="1" si="17"/>
        <v/>
      </c>
      <c r="E118" s="214" t="str">
        <f>IF($B118&lt;=$N$14,申込書!$F$16,"")</f>
        <v/>
      </c>
      <c r="F118" s="214" t="str">
        <f t="shared" si="18"/>
        <v/>
      </c>
      <c r="G118" s="214"/>
      <c r="H118" s="240" t="str">
        <f t="shared" ca="1" si="19"/>
        <v/>
      </c>
    </row>
    <row r="119" spans="1:8">
      <c r="A119" s="211">
        <f t="shared" si="20"/>
        <v>118</v>
      </c>
      <c r="B119" s="212">
        <f t="shared" si="21"/>
        <v>118</v>
      </c>
      <c r="C119" s="213" t="str">
        <f t="shared" si="16"/>
        <v/>
      </c>
      <c r="D119" s="134" t="str">
        <f t="shared" ca="1" si="17"/>
        <v/>
      </c>
      <c r="E119" s="214" t="str">
        <f>IF($B119&lt;=$N$14,申込書!$F$16,"")</f>
        <v/>
      </c>
      <c r="F119" s="214" t="str">
        <f t="shared" si="18"/>
        <v/>
      </c>
      <c r="G119" s="214"/>
      <c r="H119" s="240" t="str">
        <f t="shared" ca="1" si="19"/>
        <v/>
      </c>
    </row>
    <row r="120" spans="1:8">
      <c r="A120" s="211">
        <f t="shared" si="20"/>
        <v>119</v>
      </c>
      <c r="B120" s="212">
        <f t="shared" si="21"/>
        <v>119</v>
      </c>
      <c r="C120" s="213" t="str">
        <f t="shared" si="16"/>
        <v/>
      </c>
      <c r="D120" s="134" t="str">
        <f t="shared" ca="1" si="17"/>
        <v/>
      </c>
      <c r="E120" s="214" t="str">
        <f>IF($B120&lt;=$N$14,申込書!$F$16,"")</f>
        <v/>
      </c>
      <c r="F120" s="214" t="str">
        <f t="shared" si="18"/>
        <v/>
      </c>
      <c r="G120" s="214"/>
      <c r="H120" s="240" t="str">
        <f t="shared" ca="1" si="19"/>
        <v/>
      </c>
    </row>
    <row r="121" spans="1:8">
      <c r="A121" s="211">
        <f t="shared" si="20"/>
        <v>120</v>
      </c>
      <c r="B121" s="212">
        <f t="shared" si="21"/>
        <v>120</v>
      </c>
      <c r="C121" s="213" t="str">
        <f t="shared" si="16"/>
        <v/>
      </c>
      <c r="D121" s="134" t="str">
        <f t="shared" ca="1" si="17"/>
        <v/>
      </c>
      <c r="E121" s="214" t="str">
        <f>IF($B121&lt;=$N$14,申込書!$F$16,"")</f>
        <v/>
      </c>
      <c r="F121" s="214" t="str">
        <f t="shared" si="18"/>
        <v/>
      </c>
      <c r="G121" s="214"/>
      <c r="H121" s="240" t="str">
        <f t="shared" ca="1" si="19"/>
        <v/>
      </c>
    </row>
    <row r="122" spans="1:8">
      <c r="A122" s="211">
        <f t="shared" si="20"/>
        <v>121</v>
      </c>
      <c r="B122" s="212">
        <f t="shared" si="21"/>
        <v>121</v>
      </c>
      <c r="C122" s="213" t="str">
        <f t="shared" si="16"/>
        <v/>
      </c>
      <c r="D122" s="134" t="str">
        <f t="shared" ca="1" si="17"/>
        <v/>
      </c>
      <c r="E122" s="214" t="str">
        <f>IF($B122&lt;=$N$14,申込書!$F$16,"")</f>
        <v/>
      </c>
      <c r="F122" s="214" t="str">
        <f t="shared" si="18"/>
        <v/>
      </c>
      <c r="G122" s="214"/>
      <c r="H122" s="240" t="str">
        <f t="shared" ca="1" si="19"/>
        <v/>
      </c>
    </row>
    <row r="123" spans="1:8">
      <c r="A123" s="211">
        <f t="shared" si="20"/>
        <v>122</v>
      </c>
      <c r="B123" s="212">
        <f t="shared" si="21"/>
        <v>122</v>
      </c>
      <c r="C123" s="213" t="str">
        <f t="shared" si="16"/>
        <v/>
      </c>
      <c r="D123" s="134" t="str">
        <f t="shared" ca="1" si="17"/>
        <v/>
      </c>
      <c r="E123" s="214" t="str">
        <f>IF($B123&lt;=$N$14,申込書!$F$16,"")</f>
        <v/>
      </c>
      <c r="F123" s="214" t="str">
        <f t="shared" si="18"/>
        <v/>
      </c>
      <c r="G123" s="214"/>
      <c r="H123" s="240" t="str">
        <f t="shared" ca="1" si="19"/>
        <v/>
      </c>
    </row>
    <row r="124" spans="1:8">
      <c r="A124" s="211">
        <f t="shared" si="20"/>
        <v>123</v>
      </c>
      <c r="B124" s="212">
        <f t="shared" si="21"/>
        <v>123</v>
      </c>
      <c r="C124" s="213" t="str">
        <f t="shared" si="16"/>
        <v/>
      </c>
      <c r="D124" s="134" t="str">
        <f t="shared" ca="1" si="17"/>
        <v/>
      </c>
      <c r="E124" s="214" t="str">
        <f>IF($B124&lt;=$N$14,申込書!$F$16,"")</f>
        <v/>
      </c>
      <c r="F124" s="214" t="str">
        <f t="shared" si="18"/>
        <v/>
      </c>
      <c r="G124" s="214"/>
      <c r="H124" s="240" t="str">
        <f t="shared" ca="1" si="19"/>
        <v/>
      </c>
    </row>
    <row r="125" spans="1:8">
      <c r="A125" s="211">
        <f t="shared" si="20"/>
        <v>124</v>
      </c>
      <c r="B125" s="212">
        <f t="shared" si="21"/>
        <v>124</v>
      </c>
      <c r="C125" s="213" t="str">
        <f t="shared" si="16"/>
        <v/>
      </c>
      <c r="D125" s="134" t="str">
        <f t="shared" ca="1" si="17"/>
        <v/>
      </c>
      <c r="E125" s="214" t="str">
        <f>IF($B125&lt;=$N$14,申込書!$F$16,"")</f>
        <v/>
      </c>
      <c r="F125" s="214" t="str">
        <f t="shared" si="18"/>
        <v/>
      </c>
      <c r="G125" s="214"/>
      <c r="H125" s="240" t="str">
        <f t="shared" ca="1" si="19"/>
        <v/>
      </c>
    </row>
    <row r="126" spans="1:8">
      <c r="A126" s="211">
        <f t="shared" si="20"/>
        <v>125</v>
      </c>
      <c r="B126" s="212">
        <f t="shared" si="21"/>
        <v>125</v>
      </c>
      <c r="C126" s="213" t="str">
        <f t="shared" si="16"/>
        <v/>
      </c>
      <c r="D126" s="134" t="str">
        <f t="shared" ca="1" si="17"/>
        <v/>
      </c>
      <c r="E126" s="214" t="str">
        <f>IF($B126&lt;=$N$14,申込書!$F$16,"")</f>
        <v/>
      </c>
      <c r="F126" s="214" t="str">
        <f t="shared" si="18"/>
        <v/>
      </c>
      <c r="G126" s="214"/>
      <c r="H126" s="240" t="str">
        <f t="shared" ca="1" si="19"/>
        <v/>
      </c>
    </row>
    <row r="127" spans="1:8">
      <c r="A127" s="211">
        <f t="shared" si="20"/>
        <v>126</v>
      </c>
      <c r="B127" s="212">
        <f t="shared" si="21"/>
        <v>126</v>
      </c>
      <c r="C127" s="213" t="str">
        <f t="shared" si="16"/>
        <v/>
      </c>
      <c r="D127" s="134" t="str">
        <f t="shared" ca="1" si="17"/>
        <v/>
      </c>
      <c r="E127" s="214" t="str">
        <f>IF($B127&lt;=$N$14,申込書!$F$16,"")</f>
        <v/>
      </c>
      <c r="F127" s="214" t="str">
        <f t="shared" si="18"/>
        <v/>
      </c>
      <c r="G127" s="214"/>
      <c r="H127" s="240" t="str">
        <f t="shared" ca="1" si="19"/>
        <v/>
      </c>
    </row>
    <row r="128" spans="1:8">
      <c r="A128" s="211">
        <f t="shared" si="20"/>
        <v>127</v>
      </c>
      <c r="B128" s="212">
        <f t="shared" si="21"/>
        <v>127</v>
      </c>
      <c r="C128" s="213" t="str">
        <f t="shared" si="16"/>
        <v/>
      </c>
      <c r="D128" s="134" t="str">
        <f t="shared" ca="1" si="17"/>
        <v/>
      </c>
      <c r="E128" s="214" t="str">
        <f>IF($B128&lt;=$N$14,申込書!$F$16,"")</f>
        <v/>
      </c>
      <c r="F128" s="214" t="str">
        <f t="shared" si="18"/>
        <v/>
      </c>
      <c r="G128" s="214"/>
      <c r="H128" s="240" t="str">
        <f t="shared" ca="1" si="19"/>
        <v/>
      </c>
    </row>
    <row r="129" spans="1:8">
      <c r="A129" s="211">
        <f t="shared" si="20"/>
        <v>128</v>
      </c>
      <c r="B129" s="212">
        <f t="shared" si="21"/>
        <v>128</v>
      </c>
      <c r="C129" s="213" t="str">
        <f t="shared" si="16"/>
        <v/>
      </c>
      <c r="D129" s="134" t="str">
        <f t="shared" ca="1" si="17"/>
        <v/>
      </c>
      <c r="E129" s="214" t="str">
        <f>IF($B129&lt;=$N$14,申込書!$F$16,"")</f>
        <v/>
      </c>
      <c r="F129" s="214" t="str">
        <f t="shared" si="18"/>
        <v/>
      </c>
      <c r="G129" s="214"/>
      <c r="H129" s="240" t="str">
        <f t="shared" ca="1" si="19"/>
        <v/>
      </c>
    </row>
    <row r="130" spans="1:8">
      <c r="A130" s="211">
        <f t="shared" si="20"/>
        <v>129</v>
      </c>
      <c r="B130" s="212">
        <f t="shared" si="21"/>
        <v>129</v>
      </c>
      <c r="C130" s="213" t="str">
        <f t="shared" ref="C130:C193" si="22">IF($B130&lt;=$N$14,VLOOKUP($B130,申込,2,TRUE),"")</f>
        <v/>
      </c>
      <c r="D130" s="134" t="str">
        <f t="shared" ref="D130:D193" ca="1" si="23">IFERROR(OFFSET($L$17,VALUE(MID(OFFSET($L$17,31,MATCH($C130,$M$17:$X$17,0)),A130*2-1,2)),0),"")</f>
        <v/>
      </c>
      <c r="E130" s="214" t="str">
        <f>IF($B130&lt;=$N$14,申込書!$F$16,"")</f>
        <v/>
      </c>
      <c r="F130" s="214" t="str">
        <f t="shared" ref="F130:F193" si="24">IF($B130&lt;=$N$14,EDATE(E130,VLOOKUP($B130,申込,3,TRUE))-1,"")</f>
        <v/>
      </c>
      <c r="G130" s="214"/>
      <c r="H130" s="240" t="str">
        <f t="shared" ref="H130:H193" ca="1" si="25">IF(D130&lt;&gt;"",(VLOOKUP(D130,user,2,FALSE)="error")*1,"")</f>
        <v/>
      </c>
    </row>
    <row r="131" spans="1:8">
      <c r="A131" s="211">
        <f t="shared" ref="A131:A194" si="26">IF(C131&lt;&gt;C130,1,A130+1)</f>
        <v>130</v>
      </c>
      <c r="B131" s="212">
        <f t="shared" si="21"/>
        <v>130</v>
      </c>
      <c r="C131" s="213" t="str">
        <f t="shared" si="22"/>
        <v/>
      </c>
      <c r="D131" s="134" t="str">
        <f t="shared" ca="1" si="23"/>
        <v/>
      </c>
      <c r="E131" s="214" t="str">
        <f>IF($B131&lt;=$N$14,申込書!$F$16,"")</f>
        <v/>
      </c>
      <c r="F131" s="214" t="str">
        <f t="shared" si="24"/>
        <v/>
      </c>
      <c r="G131" s="214"/>
      <c r="H131" s="240" t="str">
        <f t="shared" ca="1" si="25"/>
        <v/>
      </c>
    </row>
    <row r="132" spans="1:8">
      <c r="A132" s="211">
        <f t="shared" si="26"/>
        <v>131</v>
      </c>
      <c r="B132" s="212">
        <f t="shared" ref="B132:B195" si="27">B131+1</f>
        <v>131</v>
      </c>
      <c r="C132" s="213" t="str">
        <f t="shared" si="22"/>
        <v/>
      </c>
      <c r="D132" s="134" t="str">
        <f t="shared" ca="1" si="23"/>
        <v/>
      </c>
      <c r="E132" s="214" t="str">
        <f>IF($B132&lt;=$N$14,申込書!$F$16,"")</f>
        <v/>
      </c>
      <c r="F132" s="214" t="str">
        <f t="shared" si="24"/>
        <v/>
      </c>
      <c r="G132" s="214"/>
      <c r="H132" s="240" t="str">
        <f t="shared" ca="1" si="25"/>
        <v/>
      </c>
    </row>
    <row r="133" spans="1:8">
      <c r="A133" s="211">
        <f t="shared" si="26"/>
        <v>132</v>
      </c>
      <c r="B133" s="212">
        <f t="shared" si="27"/>
        <v>132</v>
      </c>
      <c r="C133" s="213" t="str">
        <f t="shared" si="22"/>
        <v/>
      </c>
      <c r="D133" s="134" t="str">
        <f t="shared" ca="1" si="23"/>
        <v/>
      </c>
      <c r="E133" s="214" t="str">
        <f>IF($B133&lt;=$N$14,申込書!$F$16,"")</f>
        <v/>
      </c>
      <c r="F133" s="214" t="str">
        <f t="shared" si="24"/>
        <v/>
      </c>
      <c r="G133" s="214"/>
      <c r="H133" s="240" t="str">
        <f t="shared" ca="1" si="25"/>
        <v/>
      </c>
    </row>
    <row r="134" spans="1:8">
      <c r="A134" s="211">
        <f t="shared" si="26"/>
        <v>133</v>
      </c>
      <c r="B134" s="212">
        <f t="shared" si="27"/>
        <v>133</v>
      </c>
      <c r="C134" s="213" t="str">
        <f t="shared" si="22"/>
        <v/>
      </c>
      <c r="D134" s="134" t="str">
        <f t="shared" ca="1" si="23"/>
        <v/>
      </c>
      <c r="E134" s="214" t="str">
        <f>IF($B134&lt;=$N$14,申込書!$F$16,"")</f>
        <v/>
      </c>
      <c r="F134" s="214" t="str">
        <f t="shared" si="24"/>
        <v/>
      </c>
      <c r="G134" s="214"/>
      <c r="H134" s="240" t="str">
        <f t="shared" ca="1" si="25"/>
        <v/>
      </c>
    </row>
    <row r="135" spans="1:8">
      <c r="A135" s="211">
        <f t="shared" si="26"/>
        <v>134</v>
      </c>
      <c r="B135" s="212">
        <f t="shared" si="27"/>
        <v>134</v>
      </c>
      <c r="C135" s="213" t="str">
        <f t="shared" si="22"/>
        <v/>
      </c>
      <c r="D135" s="134" t="str">
        <f t="shared" ca="1" si="23"/>
        <v/>
      </c>
      <c r="E135" s="214" t="str">
        <f>IF($B135&lt;=$N$14,申込書!$F$16,"")</f>
        <v/>
      </c>
      <c r="F135" s="214" t="str">
        <f t="shared" si="24"/>
        <v/>
      </c>
      <c r="G135" s="214"/>
      <c r="H135" s="240" t="str">
        <f t="shared" ca="1" si="25"/>
        <v/>
      </c>
    </row>
    <row r="136" spans="1:8">
      <c r="A136" s="211">
        <f t="shared" si="26"/>
        <v>135</v>
      </c>
      <c r="B136" s="212">
        <f t="shared" si="27"/>
        <v>135</v>
      </c>
      <c r="C136" s="213" t="str">
        <f t="shared" si="22"/>
        <v/>
      </c>
      <c r="D136" s="134" t="str">
        <f t="shared" ca="1" si="23"/>
        <v/>
      </c>
      <c r="E136" s="214" t="str">
        <f>IF($B136&lt;=$N$14,申込書!$F$16,"")</f>
        <v/>
      </c>
      <c r="F136" s="214" t="str">
        <f t="shared" si="24"/>
        <v/>
      </c>
      <c r="G136" s="214"/>
      <c r="H136" s="240" t="str">
        <f t="shared" ca="1" si="25"/>
        <v/>
      </c>
    </row>
    <row r="137" spans="1:8">
      <c r="A137" s="211">
        <f t="shared" si="26"/>
        <v>136</v>
      </c>
      <c r="B137" s="212">
        <f t="shared" si="27"/>
        <v>136</v>
      </c>
      <c r="C137" s="213" t="str">
        <f t="shared" si="22"/>
        <v/>
      </c>
      <c r="D137" s="134" t="str">
        <f t="shared" ca="1" si="23"/>
        <v/>
      </c>
      <c r="E137" s="214" t="str">
        <f>IF($B137&lt;=$N$14,申込書!$F$16,"")</f>
        <v/>
      </c>
      <c r="F137" s="214" t="str">
        <f t="shared" si="24"/>
        <v/>
      </c>
      <c r="G137" s="214"/>
      <c r="H137" s="240" t="str">
        <f t="shared" ca="1" si="25"/>
        <v/>
      </c>
    </row>
    <row r="138" spans="1:8">
      <c r="A138" s="211">
        <f t="shared" si="26"/>
        <v>137</v>
      </c>
      <c r="B138" s="212">
        <f t="shared" si="27"/>
        <v>137</v>
      </c>
      <c r="C138" s="213" t="str">
        <f t="shared" si="22"/>
        <v/>
      </c>
      <c r="D138" s="134" t="str">
        <f t="shared" ca="1" si="23"/>
        <v/>
      </c>
      <c r="E138" s="214" t="str">
        <f>IF($B138&lt;=$N$14,申込書!$F$16,"")</f>
        <v/>
      </c>
      <c r="F138" s="214" t="str">
        <f t="shared" si="24"/>
        <v/>
      </c>
      <c r="G138" s="214"/>
      <c r="H138" s="240" t="str">
        <f t="shared" ca="1" si="25"/>
        <v/>
      </c>
    </row>
    <row r="139" spans="1:8">
      <c r="A139" s="211">
        <f t="shared" si="26"/>
        <v>138</v>
      </c>
      <c r="B139" s="212">
        <f t="shared" si="27"/>
        <v>138</v>
      </c>
      <c r="C139" s="213" t="str">
        <f t="shared" si="22"/>
        <v/>
      </c>
      <c r="D139" s="134" t="str">
        <f t="shared" ca="1" si="23"/>
        <v/>
      </c>
      <c r="E139" s="214" t="str">
        <f>IF($B139&lt;=$N$14,申込書!$F$16,"")</f>
        <v/>
      </c>
      <c r="F139" s="214" t="str">
        <f t="shared" si="24"/>
        <v/>
      </c>
      <c r="G139" s="214"/>
      <c r="H139" s="240" t="str">
        <f t="shared" ca="1" si="25"/>
        <v/>
      </c>
    </row>
    <row r="140" spans="1:8">
      <c r="A140" s="211">
        <f t="shared" si="26"/>
        <v>139</v>
      </c>
      <c r="B140" s="212">
        <f t="shared" si="27"/>
        <v>139</v>
      </c>
      <c r="C140" s="213" t="str">
        <f t="shared" si="22"/>
        <v/>
      </c>
      <c r="D140" s="134" t="str">
        <f t="shared" ca="1" si="23"/>
        <v/>
      </c>
      <c r="E140" s="214" t="str">
        <f>IF($B140&lt;=$N$14,申込書!$F$16,"")</f>
        <v/>
      </c>
      <c r="F140" s="214" t="str">
        <f t="shared" si="24"/>
        <v/>
      </c>
      <c r="G140" s="214"/>
      <c r="H140" s="240" t="str">
        <f t="shared" ca="1" si="25"/>
        <v/>
      </c>
    </row>
    <row r="141" spans="1:8">
      <c r="A141" s="211">
        <f t="shared" si="26"/>
        <v>140</v>
      </c>
      <c r="B141" s="212">
        <f t="shared" si="27"/>
        <v>140</v>
      </c>
      <c r="C141" s="213" t="str">
        <f t="shared" si="22"/>
        <v/>
      </c>
      <c r="D141" s="134" t="str">
        <f t="shared" ca="1" si="23"/>
        <v/>
      </c>
      <c r="E141" s="214" t="str">
        <f>IF($B141&lt;=$N$14,申込書!$F$16,"")</f>
        <v/>
      </c>
      <c r="F141" s="214" t="str">
        <f t="shared" si="24"/>
        <v/>
      </c>
      <c r="G141" s="214"/>
      <c r="H141" s="240" t="str">
        <f t="shared" ca="1" si="25"/>
        <v/>
      </c>
    </row>
    <row r="142" spans="1:8">
      <c r="A142" s="211">
        <f t="shared" si="26"/>
        <v>141</v>
      </c>
      <c r="B142" s="212">
        <f t="shared" si="27"/>
        <v>141</v>
      </c>
      <c r="C142" s="213" t="str">
        <f t="shared" si="22"/>
        <v/>
      </c>
      <c r="D142" s="134" t="str">
        <f t="shared" ca="1" si="23"/>
        <v/>
      </c>
      <c r="E142" s="214" t="str">
        <f>IF($B142&lt;=$N$14,申込書!$F$16,"")</f>
        <v/>
      </c>
      <c r="F142" s="214" t="str">
        <f t="shared" si="24"/>
        <v/>
      </c>
      <c r="G142" s="214"/>
      <c r="H142" s="240" t="str">
        <f t="shared" ca="1" si="25"/>
        <v/>
      </c>
    </row>
    <row r="143" spans="1:8">
      <c r="A143" s="211">
        <f t="shared" si="26"/>
        <v>142</v>
      </c>
      <c r="B143" s="212">
        <f t="shared" si="27"/>
        <v>142</v>
      </c>
      <c r="C143" s="213" t="str">
        <f t="shared" si="22"/>
        <v/>
      </c>
      <c r="D143" s="134" t="str">
        <f t="shared" ca="1" si="23"/>
        <v/>
      </c>
      <c r="E143" s="214" t="str">
        <f>IF($B143&lt;=$N$14,申込書!$F$16,"")</f>
        <v/>
      </c>
      <c r="F143" s="214" t="str">
        <f t="shared" si="24"/>
        <v/>
      </c>
      <c r="G143" s="214"/>
      <c r="H143" s="240" t="str">
        <f t="shared" ca="1" si="25"/>
        <v/>
      </c>
    </row>
    <row r="144" spans="1:8">
      <c r="A144" s="211">
        <f t="shared" si="26"/>
        <v>143</v>
      </c>
      <c r="B144" s="212">
        <f t="shared" si="27"/>
        <v>143</v>
      </c>
      <c r="C144" s="213" t="str">
        <f t="shared" si="22"/>
        <v/>
      </c>
      <c r="D144" s="134" t="str">
        <f t="shared" ca="1" si="23"/>
        <v/>
      </c>
      <c r="E144" s="214" t="str">
        <f>IF($B144&lt;=$N$14,申込書!$F$16,"")</f>
        <v/>
      </c>
      <c r="F144" s="214" t="str">
        <f t="shared" si="24"/>
        <v/>
      </c>
      <c r="G144" s="214"/>
      <c r="H144" s="240" t="str">
        <f t="shared" ca="1" si="25"/>
        <v/>
      </c>
    </row>
    <row r="145" spans="1:8">
      <c r="A145" s="211">
        <f t="shared" si="26"/>
        <v>144</v>
      </c>
      <c r="B145" s="212">
        <f t="shared" si="27"/>
        <v>144</v>
      </c>
      <c r="C145" s="213" t="str">
        <f t="shared" si="22"/>
        <v/>
      </c>
      <c r="D145" s="134" t="str">
        <f t="shared" ca="1" si="23"/>
        <v/>
      </c>
      <c r="E145" s="214" t="str">
        <f>IF($B145&lt;=$N$14,申込書!$F$16,"")</f>
        <v/>
      </c>
      <c r="F145" s="214" t="str">
        <f t="shared" si="24"/>
        <v/>
      </c>
      <c r="G145" s="214"/>
      <c r="H145" s="240" t="str">
        <f t="shared" ca="1" si="25"/>
        <v/>
      </c>
    </row>
    <row r="146" spans="1:8">
      <c r="A146" s="211">
        <f t="shared" si="26"/>
        <v>145</v>
      </c>
      <c r="B146" s="212">
        <f t="shared" si="27"/>
        <v>145</v>
      </c>
      <c r="C146" s="213" t="str">
        <f t="shared" si="22"/>
        <v/>
      </c>
      <c r="D146" s="134" t="str">
        <f t="shared" ca="1" si="23"/>
        <v/>
      </c>
      <c r="E146" s="214" t="str">
        <f>IF($B146&lt;=$N$14,申込書!$F$16,"")</f>
        <v/>
      </c>
      <c r="F146" s="214" t="str">
        <f t="shared" si="24"/>
        <v/>
      </c>
      <c r="G146" s="214"/>
      <c r="H146" s="240" t="str">
        <f t="shared" ca="1" si="25"/>
        <v/>
      </c>
    </row>
    <row r="147" spans="1:8">
      <c r="A147" s="211">
        <f t="shared" si="26"/>
        <v>146</v>
      </c>
      <c r="B147" s="212">
        <f t="shared" si="27"/>
        <v>146</v>
      </c>
      <c r="C147" s="213" t="str">
        <f t="shared" si="22"/>
        <v/>
      </c>
      <c r="D147" s="134" t="str">
        <f t="shared" ca="1" si="23"/>
        <v/>
      </c>
      <c r="E147" s="214" t="str">
        <f>IF($B147&lt;=$N$14,申込書!$F$16,"")</f>
        <v/>
      </c>
      <c r="F147" s="214" t="str">
        <f t="shared" si="24"/>
        <v/>
      </c>
      <c r="G147" s="214"/>
      <c r="H147" s="240" t="str">
        <f t="shared" ca="1" si="25"/>
        <v/>
      </c>
    </row>
    <row r="148" spans="1:8">
      <c r="A148" s="211">
        <f t="shared" si="26"/>
        <v>147</v>
      </c>
      <c r="B148" s="212">
        <f t="shared" si="27"/>
        <v>147</v>
      </c>
      <c r="C148" s="213" t="str">
        <f t="shared" si="22"/>
        <v/>
      </c>
      <c r="D148" s="134" t="str">
        <f t="shared" ca="1" si="23"/>
        <v/>
      </c>
      <c r="E148" s="214" t="str">
        <f>IF($B148&lt;=$N$14,申込書!$F$16,"")</f>
        <v/>
      </c>
      <c r="F148" s="214" t="str">
        <f t="shared" si="24"/>
        <v/>
      </c>
      <c r="G148" s="214"/>
      <c r="H148" s="240" t="str">
        <f t="shared" ca="1" si="25"/>
        <v/>
      </c>
    </row>
    <row r="149" spans="1:8">
      <c r="A149" s="211">
        <f t="shared" si="26"/>
        <v>148</v>
      </c>
      <c r="B149" s="212">
        <f t="shared" si="27"/>
        <v>148</v>
      </c>
      <c r="C149" s="213" t="str">
        <f t="shared" si="22"/>
        <v/>
      </c>
      <c r="D149" s="134" t="str">
        <f t="shared" ca="1" si="23"/>
        <v/>
      </c>
      <c r="E149" s="214" t="str">
        <f>IF($B149&lt;=$N$14,申込書!$F$16,"")</f>
        <v/>
      </c>
      <c r="F149" s="214" t="str">
        <f t="shared" si="24"/>
        <v/>
      </c>
      <c r="G149" s="214"/>
      <c r="H149" s="240" t="str">
        <f t="shared" ca="1" si="25"/>
        <v/>
      </c>
    </row>
    <row r="150" spans="1:8">
      <c r="A150" s="211">
        <f t="shared" si="26"/>
        <v>149</v>
      </c>
      <c r="B150" s="212">
        <f t="shared" si="27"/>
        <v>149</v>
      </c>
      <c r="C150" s="213" t="str">
        <f t="shared" si="22"/>
        <v/>
      </c>
      <c r="D150" s="134" t="str">
        <f t="shared" ca="1" si="23"/>
        <v/>
      </c>
      <c r="E150" s="214" t="str">
        <f>IF($B150&lt;=$N$14,申込書!$F$16,"")</f>
        <v/>
      </c>
      <c r="F150" s="214" t="str">
        <f t="shared" si="24"/>
        <v/>
      </c>
      <c r="G150" s="214"/>
      <c r="H150" s="240" t="str">
        <f t="shared" ca="1" si="25"/>
        <v/>
      </c>
    </row>
    <row r="151" spans="1:8">
      <c r="A151" s="211">
        <f t="shared" si="26"/>
        <v>150</v>
      </c>
      <c r="B151" s="212">
        <f t="shared" si="27"/>
        <v>150</v>
      </c>
      <c r="C151" s="213" t="str">
        <f t="shared" si="22"/>
        <v/>
      </c>
      <c r="D151" s="134" t="str">
        <f t="shared" ca="1" si="23"/>
        <v/>
      </c>
      <c r="E151" s="214" t="str">
        <f>IF($B151&lt;=$N$14,申込書!$F$16,"")</f>
        <v/>
      </c>
      <c r="F151" s="214" t="str">
        <f t="shared" si="24"/>
        <v/>
      </c>
      <c r="G151" s="214"/>
      <c r="H151" s="240" t="str">
        <f t="shared" ca="1" si="25"/>
        <v/>
      </c>
    </row>
    <row r="152" spans="1:8">
      <c r="A152" s="211">
        <f t="shared" si="26"/>
        <v>151</v>
      </c>
      <c r="B152" s="212">
        <f t="shared" si="27"/>
        <v>151</v>
      </c>
      <c r="C152" s="213" t="str">
        <f t="shared" si="22"/>
        <v/>
      </c>
      <c r="D152" s="134" t="str">
        <f t="shared" ca="1" si="23"/>
        <v/>
      </c>
      <c r="E152" s="214" t="str">
        <f>IF($B152&lt;=$N$14,申込書!$F$16,"")</f>
        <v/>
      </c>
      <c r="F152" s="214" t="str">
        <f t="shared" si="24"/>
        <v/>
      </c>
      <c r="G152" s="214"/>
      <c r="H152" s="240" t="str">
        <f t="shared" ca="1" si="25"/>
        <v/>
      </c>
    </row>
    <row r="153" spans="1:8">
      <c r="A153" s="211">
        <f t="shared" si="26"/>
        <v>152</v>
      </c>
      <c r="B153" s="212">
        <f t="shared" si="27"/>
        <v>152</v>
      </c>
      <c r="C153" s="213" t="str">
        <f t="shared" si="22"/>
        <v/>
      </c>
      <c r="D153" s="134" t="str">
        <f t="shared" ca="1" si="23"/>
        <v/>
      </c>
      <c r="E153" s="214" t="str">
        <f>IF($B153&lt;=$N$14,申込書!$F$16,"")</f>
        <v/>
      </c>
      <c r="F153" s="214" t="str">
        <f t="shared" si="24"/>
        <v/>
      </c>
      <c r="G153" s="214"/>
      <c r="H153" s="240" t="str">
        <f t="shared" ca="1" si="25"/>
        <v/>
      </c>
    </row>
    <row r="154" spans="1:8">
      <c r="A154" s="211">
        <f t="shared" si="26"/>
        <v>153</v>
      </c>
      <c r="B154" s="212">
        <f t="shared" si="27"/>
        <v>153</v>
      </c>
      <c r="C154" s="213" t="str">
        <f t="shared" si="22"/>
        <v/>
      </c>
      <c r="D154" s="134" t="str">
        <f t="shared" ca="1" si="23"/>
        <v/>
      </c>
      <c r="E154" s="214" t="str">
        <f>IF($B154&lt;=$N$14,申込書!$F$16,"")</f>
        <v/>
      </c>
      <c r="F154" s="214" t="str">
        <f t="shared" si="24"/>
        <v/>
      </c>
      <c r="G154" s="214"/>
      <c r="H154" s="240" t="str">
        <f t="shared" ca="1" si="25"/>
        <v/>
      </c>
    </row>
    <row r="155" spans="1:8">
      <c r="A155" s="211">
        <f t="shared" si="26"/>
        <v>154</v>
      </c>
      <c r="B155" s="212">
        <f t="shared" si="27"/>
        <v>154</v>
      </c>
      <c r="C155" s="213" t="str">
        <f t="shared" si="22"/>
        <v/>
      </c>
      <c r="D155" s="134" t="str">
        <f t="shared" ca="1" si="23"/>
        <v/>
      </c>
      <c r="E155" s="214" t="str">
        <f>IF($B155&lt;=$N$14,申込書!$F$16,"")</f>
        <v/>
      </c>
      <c r="F155" s="214" t="str">
        <f t="shared" si="24"/>
        <v/>
      </c>
      <c r="G155" s="214"/>
      <c r="H155" s="240" t="str">
        <f t="shared" ca="1" si="25"/>
        <v/>
      </c>
    </row>
    <row r="156" spans="1:8">
      <c r="A156" s="211">
        <f t="shared" si="26"/>
        <v>155</v>
      </c>
      <c r="B156" s="212">
        <f t="shared" si="27"/>
        <v>155</v>
      </c>
      <c r="C156" s="213" t="str">
        <f t="shared" si="22"/>
        <v/>
      </c>
      <c r="D156" s="134" t="str">
        <f t="shared" ca="1" si="23"/>
        <v/>
      </c>
      <c r="E156" s="214" t="str">
        <f>IF($B156&lt;=$N$14,申込書!$F$16,"")</f>
        <v/>
      </c>
      <c r="F156" s="214" t="str">
        <f t="shared" si="24"/>
        <v/>
      </c>
      <c r="G156" s="214"/>
      <c r="H156" s="240" t="str">
        <f t="shared" ca="1" si="25"/>
        <v/>
      </c>
    </row>
    <row r="157" spans="1:8">
      <c r="A157" s="211">
        <f t="shared" si="26"/>
        <v>156</v>
      </c>
      <c r="B157" s="212">
        <f t="shared" si="27"/>
        <v>156</v>
      </c>
      <c r="C157" s="213" t="str">
        <f t="shared" si="22"/>
        <v/>
      </c>
      <c r="D157" s="134" t="str">
        <f t="shared" ca="1" si="23"/>
        <v/>
      </c>
      <c r="E157" s="214" t="str">
        <f>IF($B157&lt;=$N$14,申込書!$F$16,"")</f>
        <v/>
      </c>
      <c r="F157" s="214" t="str">
        <f t="shared" si="24"/>
        <v/>
      </c>
      <c r="G157" s="214"/>
      <c r="H157" s="240" t="str">
        <f t="shared" ca="1" si="25"/>
        <v/>
      </c>
    </row>
    <row r="158" spans="1:8">
      <c r="A158" s="211">
        <f t="shared" si="26"/>
        <v>157</v>
      </c>
      <c r="B158" s="212">
        <f t="shared" si="27"/>
        <v>157</v>
      </c>
      <c r="C158" s="213" t="str">
        <f t="shared" si="22"/>
        <v/>
      </c>
      <c r="D158" s="134" t="str">
        <f t="shared" ca="1" si="23"/>
        <v/>
      </c>
      <c r="E158" s="214" t="str">
        <f>IF($B158&lt;=$N$14,申込書!$F$16,"")</f>
        <v/>
      </c>
      <c r="F158" s="214" t="str">
        <f t="shared" si="24"/>
        <v/>
      </c>
      <c r="G158" s="214"/>
      <c r="H158" s="240" t="str">
        <f t="shared" ca="1" si="25"/>
        <v/>
      </c>
    </row>
    <row r="159" spans="1:8">
      <c r="A159" s="211">
        <f t="shared" si="26"/>
        <v>158</v>
      </c>
      <c r="B159" s="212">
        <f t="shared" si="27"/>
        <v>158</v>
      </c>
      <c r="C159" s="213" t="str">
        <f t="shared" si="22"/>
        <v/>
      </c>
      <c r="D159" s="134" t="str">
        <f t="shared" ca="1" si="23"/>
        <v/>
      </c>
      <c r="E159" s="214" t="str">
        <f>IF($B159&lt;=$N$14,申込書!$F$16,"")</f>
        <v/>
      </c>
      <c r="F159" s="214" t="str">
        <f t="shared" si="24"/>
        <v/>
      </c>
      <c r="G159" s="214"/>
      <c r="H159" s="240" t="str">
        <f t="shared" ca="1" si="25"/>
        <v/>
      </c>
    </row>
    <row r="160" spans="1:8">
      <c r="A160" s="211">
        <f t="shared" si="26"/>
        <v>159</v>
      </c>
      <c r="B160" s="212">
        <f t="shared" si="27"/>
        <v>159</v>
      </c>
      <c r="C160" s="213" t="str">
        <f t="shared" si="22"/>
        <v/>
      </c>
      <c r="D160" s="134" t="str">
        <f t="shared" ca="1" si="23"/>
        <v/>
      </c>
      <c r="E160" s="214" t="str">
        <f>IF($B160&lt;=$N$14,申込書!$F$16,"")</f>
        <v/>
      </c>
      <c r="F160" s="214" t="str">
        <f t="shared" si="24"/>
        <v/>
      </c>
      <c r="G160" s="214"/>
      <c r="H160" s="240" t="str">
        <f t="shared" ca="1" si="25"/>
        <v/>
      </c>
    </row>
    <row r="161" spans="1:8">
      <c r="A161" s="211">
        <f t="shared" si="26"/>
        <v>160</v>
      </c>
      <c r="B161" s="212">
        <f t="shared" si="27"/>
        <v>160</v>
      </c>
      <c r="C161" s="213" t="str">
        <f t="shared" si="22"/>
        <v/>
      </c>
      <c r="D161" s="134" t="str">
        <f t="shared" ca="1" si="23"/>
        <v/>
      </c>
      <c r="E161" s="214" t="str">
        <f>IF($B161&lt;=$N$14,申込書!$F$16,"")</f>
        <v/>
      </c>
      <c r="F161" s="214" t="str">
        <f t="shared" si="24"/>
        <v/>
      </c>
      <c r="G161" s="214"/>
      <c r="H161" s="240" t="str">
        <f t="shared" ca="1" si="25"/>
        <v/>
      </c>
    </row>
    <row r="162" spans="1:8">
      <c r="A162" s="211">
        <f t="shared" si="26"/>
        <v>161</v>
      </c>
      <c r="B162" s="212">
        <f t="shared" si="27"/>
        <v>161</v>
      </c>
      <c r="C162" s="213" t="str">
        <f t="shared" si="22"/>
        <v/>
      </c>
      <c r="D162" s="134" t="str">
        <f t="shared" ca="1" si="23"/>
        <v/>
      </c>
      <c r="E162" s="214" t="str">
        <f>IF($B162&lt;=$N$14,申込書!$F$16,"")</f>
        <v/>
      </c>
      <c r="F162" s="214" t="str">
        <f t="shared" si="24"/>
        <v/>
      </c>
      <c r="G162" s="214"/>
      <c r="H162" s="240" t="str">
        <f t="shared" ca="1" si="25"/>
        <v/>
      </c>
    </row>
    <row r="163" spans="1:8">
      <c r="A163" s="211">
        <f t="shared" si="26"/>
        <v>162</v>
      </c>
      <c r="B163" s="212">
        <f t="shared" si="27"/>
        <v>162</v>
      </c>
      <c r="C163" s="213" t="str">
        <f t="shared" si="22"/>
        <v/>
      </c>
      <c r="D163" s="134" t="str">
        <f t="shared" ca="1" si="23"/>
        <v/>
      </c>
      <c r="E163" s="214" t="str">
        <f>IF($B163&lt;=$N$14,申込書!$F$16,"")</f>
        <v/>
      </c>
      <c r="F163" s="214" t="str">
        <f t="shared" si="24"/>
        <v/>
      </c>
      <c r="G163" s="214"/>
      <c r="H163" s="240" t="str">
        <f t="shared" ca="1" si="25"/>
        <v/>
      </c>
    </row>
    <row r="164" spans="1:8">
      <c r="A164" s="211">
        <f t="shared" si="26"/>
        <v>163</v>
      </c>
      <c r="B164" s="212">
        <f t="shared" si="27"/>
        <v>163</v>
      </c>
      <c r="C164" s="213" t="str">
        <f t="shared" si="22"/>
        <v/>
      </c>
      <c r="D164" s="134" t="str">
        <f t="shared" ca="1" si="23"/>
        <v/>
      </c>
      <c r="E164" s="214" t="str">
        <f>IF($B164&lt;=$N$14,申込書!$F$16,"")</f>
        <v/>
      </c>
      <c r="F164" s="214" t="str">
        <f t="shared" si="24"/>
        <v/>
      </c>
      <c r="G164" s="214"/>
      <c r="H164" s="240" t="str">
        <f t="shared" ca="1" si="25"/>
        <v/>
      </c>
    </row>
    <row r="165" spans="1:8">
      <c r="A165" s="211">
        <f t="shared" si="26"/>
        <v>164</v>
      </c>
      <c r="B165" s="212">
        <f t="shared" si="27"/>
        <v>164</v>
      </c>
      <c r="C165" s="213" t="str">
        <f t="shared" si="22"/>
        <v/>
      </c>
      <c r="D165" s="134" t="str">
        <f t="shared" ca="1" si="23"/>
        <v/>
      </c>
      <c r="E165" s="214" t="str">
        <f>IF($B165&lt;=$N$14,申込書!$F$16,"")</f>
        <v/>
      </c>
      <c r="F165" s="214" t="str">
        <f t="shared" si="24"/>
        <v/>
      </c>
      <c r="G165" s="214"/>
      <c r="H165" s="240" t="str">
        <f t="shared" ca="1" si="25"/>
        <v/>
      </c>
    </row>
    <row r="166" spans="1:8">
      <c r="A166" s="211">
        <f t="shared" si="26"/>
        <v>165</v>
      </c>
      <c r="B166" s="212">
        <f t="shared" si="27"/>
        <v>165</v>
      </c>
      <c r="C166" s="213" t="str">
        <f t="shared" si="22"/>
        <v/>
      </c>
      <c r="D166" s="134" t="str">
        <f t="shared" ca="1" si="23"/>
        <v/>
      </c>
      <c r="E166" s="214" t="str">
        <f>IF($B166&lt;=$N$14,申込書!$F$16,"")</f>
        <v/>
      </c>
      <c r="F166" s="214" t="str">
        <f t="shared" si="24"/>
        <v/>
      </c>
      <c r="G166" s="214"/>
      <c r="H166" s="240" t="str">
        <f t="shared" ca="1" si="25"/>
        <v/>
      </c>
    </row>
    <row r="167" spans="1:8">
      <c r="A167" s="211">
        <f t="shared" si="26"/>
        <v>166</v>
      </c>
      <c r="B167" s="212">
        <f t="shared" si="27"/>
        <v>166</v>
      </c>
      <c r="C167" s="213" t="str">
        <f t="shared" si="22"/>
        <v/>
      </c>
      <c r="D167" s="134" t="str">
        <f t="shared" ca="1" si="23"/>
        <v/>
      </c>
      <c r="E167" s="214" t="str">
        <f>IF($B167&lt;=$N$14,申込書!$F$16,"")</f>
        <v/>
      </c>
      <c r="F167" s="214" t="str">
        <f t="shared" si="24"/>
        <v/>
      </c>
      <c r="G167" s="214"/>
      <c r="H167" s="240" t="str">
        <f t="shared" ca="1" si="25"/>
        <v/>
      </c>
    </row>
    <row r="168" spans="1:8">
      <c r="A168" s="211">
        <f t="shared" si="26"/>
        <v>167</v>
      </c>
      <c r="B168" s="212">
        <f t="shared" si="27"/>
        <v>167</v>
      </c>
      <c r="C168" s="213" t="str">
        <f t="shared" si="22"/>
        <v/>
      </c>
      <c r="D168" s="134" t="str">
        <f t="shared" ca="1" si="23"/>
        <v/>
      </c>
      <c r="E168" s="214" t="str">
        <f>IF($B168&lt;=$N$14,申込書!$F$16,"")</f>
        <v/>
      </c>
      <c r="F168" s="214" t="str">
        <f t="shared" si="24"/>
        <v/>
      </c>
      <c r="G168" s="214"/>
      <c r="H168" s="240" t="str">
        <f t="shared" ca="1" si="25"/>
        <v/>
      </c>
    </row>
    <row r="169" spans="1:8">
      <c r="A169" s="211">
        <f t="shared" si="26"/>
        <v>168</v>
      </c>
      <c r="B169" s="212">
        <f t="shared" si="27"/>
        <v>168</v>
      </c>
      <c r="C169" s="213" t="str">
        <f t="shared" si="22"/>
        <v/>
      </c>
      <c r="D169" s="134" t="str">
        <f t="shared" ca="1" si="23"/>
        <v/>
      </c>
      <c r="E169" s="214" t="str">
        <f>IF($B169&lt;=$N$14,申込書!$F$16,"")</f>
        <v/>
      </c>
      <c r="F169" s="214" t="str">
        <f t="shared" si="24"/>
        <v/>
      </c>
      <c r="G169" s="214"/>
      <c r="H169" s="240" t="str">
        <f t="shared" ca="1" si="25"/>
        <v/>
      </c>
    </row>
    <row r="170" spans="1:8">
      <c r="A170" s="211">
        <f t="shared" si="26"/>
        <v>169</v>
      </c>
      <c r="B170" s="212">
        <f t="shared" si="27"/>
        <v>169</v>
      </c>
      <c r="C170" s="213" t="str">
        <f t="shared" si="22"/>
        <v/>
      </c>
      <c r="D170" s="134" t="str">
        <f t="shared" ca="1" si="23"/>
        <v/>
      </c>
      <c r="E170" s="214" t="str">
        <f>IF($B170&lt;=$N$14,申込書!$F$16,"")</f>
        <v/>
      </c>
      <c r="F170" s="214" t="str">
        <f t="shared" si="24"/>
        <v/>
      </c>
      <c r="G170" s="214"/>
      <c r="H170" s="240" t="str">
        <f t="shared" ca="1" si="25"/>
        <v/>
      </c>
    </row>
    <row r="171" spans="1:8">
      <c r="A171" s="211">
        <f t="shared" si="26"/>
        <v>170</v>
      </c>
      <c r="B171" s="212">
        <f t="shared" si="27"/>
        <v>170</v>
      </c>
      <c r="C171" s="213" t="str">
        <f t="shared" si="22"/>
        <v/>
      </c>
      <c r="D171" s="134" t="str">
        <f t="shared" ca="1" si="23"/>
        <v/>
      </c>
      <c r="E171" s="214" t="str">
        <f>IF($B171&lt;=$N$14,申込書!$F$16,"")</f>
        <v/>
      </c>
      <c r="F171" s="214" t="str">
        <f t="shared" si="24"/>
        <v/>
      </c>
      <c r="G171" s="214"/>
      <c r="H171" s="240" t="str">
        <f t="shared" ca="1" si="25"/>
        <v/>
      </c>
    </row>
    <row r="172" spans="1:8">
      <c r="A172" s="211">
        <f t="shared" si="26"/>
        <v>171</v>
      </c>
      <c r="B172" s="212">
        <f t="shared" si="27"/>
        <v>171</v>
      </c>
      <c r="C172" s="213" t="str">
        <f t="shared" si="22"/>
        <v/>
      </c>
      <c r="D172" s="134" t="str">
        <f t="shared" ca="1" si="23"/>
        <v/>
      </c>
      <c r="E172" s="214" t="str">
        <f>IF($B172&lt;=$N$14,申込書!$F$16,"")</f>
        <v/>
      </c>
      <c r="F172" s="214" t="str">
        <f t="shared" si="24"/>
        <v/>
      </c>
      <c r="G172" s="214"/>
      <c r="H172" s="240" t="str">
        <f t="shared" ca="1" si="25"/>
        <v/>
      </c>
    </row>
    <row r="173" spans="1:8">
      <c r="A173" s="211">
        <f t="shared" si="26"/>
        <v>172</v>
      </c>
      <c r="B173" s="212">
        <f t="shared" si="27"/>
        <v>172</v>
      </c>
      <c r="C173" s="213" t="str">
        <f t="shared" si="22"/>
        <v/>
      </c>
      <c r="D173" s="134" t="str">
        <f t="shared" ca="1" si="23"/>
        <v/>
      </c>
      <c r="E173" s="214" t="str">
        <f>IF($B173&lt;=$N$14,申込書!$F$16,"")</f>
        <v/>
      </c>
      <c r="F173" s="214" t="str">
        <f t="shared" si="24"/>
        <v/>
      </c>
      <c r="G173" s="214"/>
      <c r="H173" s="240" t="str">
        <f t="shared" ca="1" si="25"/>
        <v/>
      </c>
    </row>
    <row r="174" spans="1:8">
      <c r="A174" s="211">
        <f t="shared" si="26"/>
        <v>173</v>
      </c>
      <c r="B174" s="212">
        <f t="shared" si="27"/>
        <v>173</v>
      </c>
      <c r="C174" s="213" t="str">
        <f t="shared" si="22"/>
        <v/>
      </c>
      <c r="D174" s="134" t="str">
        <f t="shared" ca="1" si="23"/>
        <v/>
      </c>
      <c r="E174" s="214" t="str">
        <f>IF($B174&lt;=$N$14,申込書!$F$16,"")</f>
        <v/>
      </c>
      <c r="F174" s="214" t="str">
        <f t="shared" si="24"/>
        <v/>
      </c>
      <c r="G174" s="214"/>
      <c r="H174" s="240" t="str">
        <f t="shared" ca="1" si="25"/>
        <v/>
      </c>
    </row>
    <row r="175" spans="1:8">
      <c r="A175" s="211">
        <f t="shared" si="26"/>
        <v>174</v>
      </c>
      <c r="B175" s="212">
        <f t="shared" si="27"/>
        <v>174</v>
      </c>
      <c r="C175" s="213" t="str">
        <f t="shared" si="22"/>
        <v/>
      </c>
      <c r="D175" s="134" t="str">
        <f t="shared" ca="1" si="23"/>
        <v/>
      </c>
      <c r="E175" s="214" t="str">
        <f>IF($B175&lt;=$N$14,申込書!$F$16,"")</f>
        <v/>
      </c>
      <c r="F175" s="214" t="str">
        <f t="shared" si="24"/>
        <v/>
      </c>
      <c r="G175" s="214"/>
      <c r="H175" s="240" t="str">
        <f t="shared" ca="1" si="25"/>
        <v/>
      </c>
    </row>
    <row r="176" spans="1:8">
      <c r="A176" s="211">
        <f t="shared" si="26"/>
        <v>175</v>
      </c>
      <c r="B176" s="212">
        <f t="shared" si="27"/>
        <v>175</v>
      </c>
      <c r="C176" s="213" t="str">
        <f t="shared" si="22"/>
        <v/>
      </c>
      <c r="D176" s="134" t="str">
        <f t="shared" ca="1" si="23"/>
        <v/>
      </c>
      <c r="E176" s="214" t="str">
        <f>IF($B176&lt;=$N$14,申込書!$F$16,"")</f>
        <v/>
      </c>
      <c r="F176" s="214" t="str">
        <f t="shared" si="24"/>
        <v/>
      </c>
      <c r="G176" s="214"/>
      <c r="H176" s="240" t="str">
        <f t="shared" ca="1" si="25"/>
        <v/>
      </c>
    </row>
    <row r="177" spans="1:8">
      <c r="A177" s="211">
        <f t="shared" si="26"/>
        <v>176</v>
      </c>
      <c r="B177" s="212">
        <f t="shared" si="27"/>
        <v>176</v>
      </c>
      <c r="C177" s="213" t="str">
        <f t="shared" si="22"/>
        <v/>
      </c>
      <c r="D177" s="134" t="str">
        <f t="shared" ca="1" si="23"/>
        <v/>
      </c>
      <c r="E177" s="214" t="str">
        <f>IF($B177&lt;=$N$14,申込書!$F$16,"")</f>
        <v/>
      </c>
      <c r="F177" s="214" t="str">
        <f t="shared" si="24"/>
        <v/>
      </c>
      <c r="G177" s="214"/>
      <c r="H177" s="240" t="str">
        <f t="shared" ca="1" si="25"/>
        <v/>
      </c>
    </row>
    <row r="178" spans="1:8">
      <c r="A178" s="211">
        <f t="shared" si="26"/>
        <v>177</v>
      </c>
      <c r="B178" s="212">
        <f t="shared" si="27"/>
        <v>177</v>
      </c>
      <c r="C178" s="213" t="str">
        <f t="shared" si="22"/>
        <v/>
      </c>
      <c r="D178" s="134" t="str">
        <f t="shared" ca="1" si="23"/>
        <v/>
      </c>
      <c r="E178" s="214" t="str">
        <f>IF($B178&lt;=$N$14,申込書!$F$16,"")</f>
        <v/>
      </c>
      <c r="F178" s="214" t="str">
        <f t="shared" si="24"/>
        <v/>
      </c>
      <c r="G178" s="214"/>
      <c r="H178" s="240" t="str">
        <f t="shared" ca="1" si="25"/>
        <v/>
      </c>
    </row>
    <row r="179" spans="1:8">
      <c r="A179" s="211">
        <f t="shared" si="26"/>
        <v>178</v>
      </c>
      <c r="B179" s="212">
        <f t="shared" si="27"/>
        <v>178</v>
      </c>
      <c r="C179" s="213" t="str">
        <f t="shared" si="22"/>
        <v/>
      </c>
      <c r="D179" s="134" t="str">
        <f t="shared" ca="1" si="23"/>
        <v/>
      </c>
      <c r="E179" s="214" t="str">
        <f>IF($B179&lt;=$N$14,申込書!$F$16,"")</f>
        <v/>
      </c>
      <c r="F179" s="214" t="str">
        <f t="shared" si="24"/>
        <v/>
      </c>
      <c r="G179" s="214"/>
      <c r="H179" s="240" t="str">
        <f t="shared" ca="1" si="25"/>
        <v/>
      </c>
    </row>
    <row r="180" spans="1:8">
      <c r="A180" s="211">
        <f t="shared" si="26"/>
        <v>179</v>
      </c>
      <c r="B180" s="212">
        <f t="shared" si="27"/>
        <v>179</v>
      </c>
      <c r="C180" s="213" t="str">
        <f t="shared" si="22"/>
        <v/>
      </c>
      <c r="D180" s="134" t="str">
        <f t="shared" ca="1" si="23"/>
        <v/>
      </c>
      <c r="E180" s="214" t="str">
        <f>IF($B180&lt;=$N$14,申込書!$F$16,"")</f>
        <v/>
      </c>
      <c r="F180" s="214" t="str">
        <f t="shared" si="24"/>
        <v/>
      </c>
      <c r="G180" s="214"/>
      <c r="H180" s="240" t="str">
        <f t="shared" ca="1" si="25"/>
        <v/>
      </c>
    </row>
    <row r="181" spans="1:8">
      <c r="A181" s="211">
        <f t="shared" si="26"/>
        <v>180</v>
      </c>
      <c r="B181" s="212">
        <f t="shared" si="27"/>
        <v>180</v>
      </c>
      <c r="C181" s="213" t="str">
        <f t="shared" si="22"/>
        <v/>
      </c>
      <c r="D181" s="134" t="str">
        <f t="shared" ca="1" si="23"/>
        <v/>
      </c>
      <c r="E181" s="214" t="str">
        <f>IF($B181&lt;=$N$14,申込書!$F$16,"")</f>
        <v/>
      </c>
      <c r="F181" s="214" t="str">
        <f t="shared" si="24"/>
        <v/>
      </c>
      <c r="G181" s="214"/>
      <c r="H181" s="240" t="str">
        <f t="shared" ca="1" si="25"/>
        <v/>
      </c>
    </row>
    <row r="182" spans="1:8">
      <c r="A182" s="211">
        <f t="shared" si="26"/>
        <v>181</v>
      </c>
      <c r="B182" s="212">
        <f t="shared" si="27"/>
        <v>181</v>
      </c>
      <c r="C182" s="213" t="str">
        <f t="shared" si="22"/>
        <v/>
      </c>
      <c r="D182" s="134" t="str">
        <f t="shared" ca="1" si="23"/>
        <v/>
      </c>
      <c r="E182" s="214" t="str">
        <f>IF($B182&lt;=$N$14,申込書!$F$16,"")</f>
        <v/>
      </c>
      <c r="F182" s="214" t="str">
        <f t="shared" si="24"/>
        <v/>
      </c>
      <c r="G182" s="214"/>
      <c r="H182" s="240" t="str">
        <f t="shared" ca="1" si="25"/>
        <v/>
      </c>
    </row>
    <row r="183" spans="1:8">
      <c r="A183" s="211">
        <f t="shared" si="26"/>
        <v>182</v>
      </c>
      <c r="B183" s="212">
        <f t="shared" si="27"/>
        <v>182</v>
      </c>
      <c r="C183" s="213" t="str">
        <f t="shared" si="22"/>
        <v/>
      </c>
      <c r="D183" s="134" t="str">
        <f t="shared" ca="1" si="23"/>
        <v/>
      </c>
      <c r="E183" s="214" t="str">
        <f>IF($B183&lt;=$N$14,申込書!$F$16,"")</f>
        <v/>
      </c>
      <c r="F183" s="214" t="str">
        <f t="shared" si="24"/>
        <v/>
      </c>
      <c r="G183" s="214"/>
      <c r="H183" s="240" t="str">
        <f t="shared" ca="1" si="25"/>
        <v/>
      </c>
    </row>
    <row r="184" spans="1:8">
      <c r="A184" s="211">
        <f t="shared" si="26"/>
        <v>183</v>
      </c>
      <c r="B184" s="212">
        <f t="shared" si="27"/>
        <v>183</v>
      </c>
      <c r="C184" s="213" t="str">
        <f t="shared" si="22"/>
        <v/>
      </c>
      <c r="D184" s="134" t="str">
        <f t="shared" ca="1" si="23"/>
        <v/>
      </c>
      <c r="E184" s="214" t="str">
        <f>IF($B184&lt;=$N$14,申込書!$F$16,"")</f>
        <v/>
      </c>
      <c r="F184" s="214" t="str">
        <f t="shared" si="24"/>
        <v/>
      </c>
      <c r="G184" s="214"/>
      <c r="H184" s="240" t="str">
        <f t="shared" ca="1" si="25"/>
        <v/>
      </c>
    </row>
    <row r="185" spans="1:8">
      <c r="A185" s="211">
        <f t="shared" si="26"/>
        <v>184</v>
      </c>
      <c r="B185" s="212">
        <f t="shared" si="27"/>
        <v>184</v>
      </c>
      <c r="C185" s="213" t="str">
        <f t="shared" si="22"/>
        <v/>
      </c>
      <c r="D185" s="134" t="str">
        <f t="shared" ca="1" si="23"/>
        <v/>
      </c>
      <c r="E185" s="214" t="str">
        <f>IF($B185&lt;=$N$14,申込書!$F$16,"")</f>
        <v/>
      </c>
      <c r="F185" s="214" t="str">
        <f t="shared" si="24"/>
        <v/>
      </c>
      <c r="G185" s="214"/>
      <c r="H185" s="240" t="str">
        <f t="shared" ca="1" si="25"/>
        <v/>
      </c>
    </row>
    <row r="186" spans="1:8">
      <c r="A186" s="211">
        <f t="shared" si="26"/>
        <v>185</v>
      </c>
      <c r="B186" s="212">
        <f t="shared" si="27"/>
        <v>185</v>
      </c>
      <c r="C186" s="213" t="str">
        <f t="shared" si="22"/>
        <v/>
      </c>
      <c r="D186" s="134" t="str">
        <f t="shared" ca="1" si="23"/>
        <v/>
      </c>
      <c r="E186" s="214" t="str">
        <f>IF($B186&lt;=$N$14,申込書!$F$16,"")</f>
        <v/>
      </c>
      <c r="F186" s="214" t="str">
        <f t="shared" si="24"/>
        <v/>
      </c>
      <c r="G186" s="214"/>
      <c r="H186" s="240" t="str">
        <f t="shared" ca="1" si="25"/>
        <v/>
      </c>
    </row>
    <row r="187" spans="1:8">
      <c r="A187" s="211">
        <f t="shared" si="26"/>
        <v>186</v>
      </c>
      <c r="B187" s="212">
        <f t="shared" si="27"/>
        <v>186</v>
      </c>
      <c r="C187" s="213" t="str">
        <f t="shared" si="22"/>
        <v/>
      </c>
      <c r="D187" s="134" t="str">
        <f t="shared" ca="1" si="23"/>
        <v/>
      </c>
      <c r="E187" s="214" t="str">
        <f>IF($B187&lt;=$N$14,申込書!$F$16,"")</f>
        <v/>
      </c>
      <c r="F187" s="214" t="str">
        <f t="shared" si="24"/>
        <v/>
      </c>
      <c r="G187" s="214"/>
      <c r="H187" s="240" t="str">
        <f t="shared" ca="1" si="25"/>
        <v/>
      </c>
    </row>
    <row r="188" spans="1:8">
      <c r="A188" s="211">
        <f t="shared" si="26"/>
        <v>187</v>
      </c>
      <c r="B188" s="212">
        <f t="shared" si="27"/>
        <v>187</v>
      </c>
      <c r="C188" s="213" t="str">
        <f t="shared" si="22"/>
        <v/>
      </c>
      <c r="D188" s="134" t="str">
        <f t="shared" ca="1" si="23"/>
        <v/>
      </c>
      <c r="E188" s="214" t="str">
        <f>IF($B188&lt;=$N$14,申込書!$F$16,"")</f>
        <v/>
      </c>
      <c r="F188" s="214" t="str">
        <f t="shared" si="24"/>
        <v/>
      </c>
      <c r="G188" s="214"/>
      <c r="H188" s="240" t="str">
        <f t="shared" ca="1" si="25"/>
        <v/>
      </c>
    </row>
    <row r="189" spans="1:8">
      <c r="A189" s="211">
        <f t="shared" si="26"/>
        <v>188</v>
      </c>
      <c r="B189" s="212">
        <f t="shared" si="27"/>
        <v>188</v>
      </c>
      <c r="C189" s="213" t="str">
        <f t="shared" si="22"/>
        <v/>
      </c>
      <c r="D189" s="134" t="str">
        <f t="shared" ca="1" si="23"/>
        <v/>
      </c>
      <c r="E189" s="214" t="str">
        <f>IF($B189&lt;=$N$14,申込書!$F$16,"")</f>
        <v/>
      </c>
      <c r="F189" s="214" t="str">
        <f t="shared" si="24"/>
        <v/>
      </c>
      <c r="G189" s="214"/>
      <c r="H189" s="240" t="str">
        <f t="shared" ca="1" si="25"/>
        <v/>
      </c>
    </row>
    <row r="190" spans="1:8">
      <c r="A190" s="211">
        <f t="shared" si="26"/>
        <v>189</v>
      </c>
      <c r="B190" s="212">
        <f t="shared" si="27"/>
        <v>189</v>
      </c>
      <c r="C190" s="213" t="str">
        <f t="shared" si="22"/>
        <v/>
      </c>
      <c r="D190" s="134" t="str">
        <f t="shared" ca="1" si="23"/>
        <v/>
      </c>
      <c r="E190" s="214" t="str">
        <f>IF($B190&lt;=$N$14,申込書!$F$16,"")</f>
        <v/>
      </c>
      <c r="F190" s="214" t="str">
        <f t="shared" si="24"/>
        <v/>
      </c>
      <c r="G190" s="214"/>
      <c r="H190" s="240" t="str">
        <f t="shared" ca="1" si="25"/>
        <v/>
      </c>
    </row>
    <row r="191" spans="1:8">
      <c r="A191" s="211">
        <f t="shared" si="26"/>
        <v>190</v>
      </c>
      <c r="B191" s="212">
        <f t="shared" si="27"/>
        <v>190</v>
      </c>
      <c r="C191" s="213" t="str">
        <f t="shared" si="22"/>
        <v/>
      </c>
      <c r="D191" s="134" t="str">
        <f t="shared" ca="1" si="23"/>
        <v/>
      </c>
      <c r="E191" s="214" t="str">
        <f>IF($B191&lt;=$N$14,申込書!$F$16,"")</f>
        <v/>
      </c>
      <c r="F191" s="214" t="str">
        <f t="shared" si="24"/>
        <v/>
      </c>
      <c r="G191" s="214"/>
      <c r="H191" s="240" t="str">
        <f t="shared" ca="1" si="25"/>
        <v/>
      </c>
    </row>
    <row r="192" spans="1:8">
      <c r="A192" s="211">
        <f t="shared" si="26"/>
        <v>191</v>
      </c>
      <c r="B192" s="212">
        <f t="shared" si="27"/>
        <v>191</v>
      </c>
      <c r="C192" s="213" t="str">
        <f t="shared" si="22"/>
        <v/>
      </c>
      <c r="D192" s="134" t="str">
        <f t="shared" ca="1" si="23"/>
        <v/>
      </c>
      <c r="E192" s="214" t="str">
        <f>IF($B192&lt;=$N$14,申込書!$F$16,"")</f>
        <v/>
      </c>
      <c r="F192" s="214" t="str">
        <f t="shared" si="24"/>
        <v/>
      </c>
      <c r="G192" s="214"/>
      <c r="H192" s="240" t="str">
        <f t="shared" ca="1" si="25"/>
        <v/>
      </c>
    </row>
    <row r="193" spans="1:8">
      <c r="A193" s="211">
        <f t="shared" si="26"/>
        <v>192</v>
      </c>
      <c r="B193" s="212">
        <f t="shared" si="27"/>
        <v>192</v>
      </c>
      <c r="C193" s="213" t="str">
        <f t="shared" si="22"/>
        <v/>
      </c>
      <c r="D193" s="134" t="str">
        <f t="shared" ca="1" si="23"/>
        <v/>
      </c>
      <c r="E193" s="214" t="str">
        <f>IF($B193&lt;=$N$14,申込書!$F$16,"")</f>
        <v/>
      </c>
      <c r="F193" s="214" t="str">
        <f t="shared" si="24"/>
        <v/>
      </c>
      <c r="G193" s="214"/>
      <c r="H193" s="240" t="str">
        <f t="shared" ca="1" si="25"/>
        <v/>
      </c>
    </row>
    <row r="194" spans="1:8">
      <c r="A194" s="211">
        <f t="shared" si="26"/>
        <v>193</v>
      </c>
      <c r="B194" s="212">
        <f t="shared" si="27"/>
        <v>193</v>
      </c>
      <c r="C194" s="213" t="str">
        <f t="shared" ref="C194:C257" si="28">IF($B194&lt;=$N$14,VLOOKUP($B194,申込,2,TRUE),"")</f>
        <v/>
      </c>
      <c r="D194" s="134" t="str">
        <f t="shared" ref="D194:D257" ca="1" si="29">IFERROR(OFFSET($L$17,VALUE(MID(OFFSET($L$17,31,MATCH($C194,$M$17:$X$17,0)),A194*2-1,2)),0),"")</f>
        <v/>
      </c>
      <c r="E194" s="214" t="str">
        <f>IF($B194&lt;=$N$14,申込書!$F$16,"")</f>
        <v/>
      </c>
      <c r="F194" s="214" t="str">
        <f t="shared" ref="F194:F257" si="30">IF($B194&lt;=$N$14,EDATE(E194,VLOOKUP($B194,申込,3,TRUE))-1,"")</f>
        <v/>
      </c>
      <c r="G194" s="214"/>
      <c r="H194" s="240" t="str">
        <f t="shared" ref="H194:H257" ca="1" si="31">IF(D194&lt;&gt;"",(VLOOKUP(D194,user,2,FALSE)="error")*1,"")</f>
        <v/>
      </c>
    </row>
    <row r="195" spans="1:8">
      <c r="A195" s="211">
        <f t="shared" ref="A195:A258" si="32">IF(C195&lt;&gt;C194,1,A194+1)</f>
        <v>194</v>
      </c>
      <c r="B195" s="212">
        <f t="shared" si="27"/>
        <v>194</v>
      </c>
      <c r="C195" s="213" t="str">
        <f t="shared" si="28"/>
        <v/>
      </c>
      <c r="D195" s="134" t="str">
        <f t="shared" ca="1" si="29"/>
        <v/>
      </c>
      <c r="E195" s="214" t="str">
        <f>IF($B195&lt;=$N$14,申込書!$F$16,"")</f>
        <v/>
      </c>
      <c r="F195" s="214" t="str">
        <f t="shared" si="30"/>
        <v/>
      </c>
      <c r="G195" s="214"/>
      <c r="H195" s="240" t="str">
        <f t="shared" ca="1" si="31"/>
        <v/>
      </c>
    </row>
    <row r="196" spans="1:8">
      <c r="A196" s="211">
        <f t="shared" si="32"/>
        <v>195</v>
      </c>
      <c r="B196" s="212">
        <f t="shared" ref="B196:B259" si="33">B195+1</f>
        <v>195</v>
      </c>
      <c r="C196" s="213" t="str">
        <f t="shared" si="28"/>
        <v/>
      </c>
      <c r="D196" s="134" t="str">
        <f t="shared" ca="1" si="29"/>
        <v/>
      </c>
      <c r="E196" s="214" t="str">
        <f>IF($B196&lt;=$N$14,申込書!$F$16,"")</f>
        <v/>
      </c>
      <c r="F196" s="214" t="str">
        <f t="shared" si="30"/>
        <v/>
      </c>
      <c r="G196" s="214"/>
      <c r="H196" s="240" t="str">
        <f t="shared" ca="1" si="31"/>
        <v/>
      </c>
    </row>
    <row r="197" spans="1:8">
      <c r="A197" s="211">
        <f t="shared" si="32"/>
        <v>196</v>
      </c>
      <c r="B197" s="212">
        <f t="shared" si="33"/>
        <v>196</v>
      </c>
      <c r="C197" s="213" t="str">
        <f t="shared" si="28"/>
        <v/>
      </c>
      <c r="D197" s="134" t="str">
        <f t="shared" ca="1" si="29"/>
        <v/>
      </c>
      <c r="E197" s="214" t="str">
        <f>IF($B197&lt;=$N$14,申込書!$F$16,"")</f>
        <v/>
      </c>
      <c r="F197" s="214" t="str">
        <f t="shared" si="30"/>
        <v/>
      </c>
      <c r="G197" s="214"/>
      <c r="H197" s="240" t="str">
        <f t="shared" ca="1" si="31"/>
        <v/>
      </c>
    </row>
    <row r="198" spans="1:8">
      <c r="A198" s="211">
        <f t="shared" si="32"/>
        <v>197</v>
      </c>
      <c r="B198" s="212">
        <f t="shared" si="33"/>
        <v>197</v>
      </c>
      <c r="C198" s="213" t="str">
        <f t="shared" si="28"/>
        <v/>
      </c>
      <c r="D198" s="134" t="str">
        <f t="shared" ca="1" si="29"/>
        <v/>
      </c>
      <c r="E198" s="214" t="str">
        <f>IF($B198&lt;=$N$14,申込書!$F$16,"")</f>
        <v/>
      </c>
      <c r="F198" s="214" t="str">
        <f t="shared" si="30"/>
        <v/>
      </c>
      <c r="G198" s="214"/>
      <c r="H198" s="240" t="str">
        <f t="shared" ca="1" si="31"/>
        <v/>
      </c>
    </row>
    <row r="199" spans="1:8">
      <c r="A199" s="211">
        <f t="shared" si="32"/>
        <v>198</v>
      </c>
      <c r="B199" s="212">
        <f t="shared" si="33"/>
        <v>198</v>
      </c>
      <c r="C199" s="213" t="str">
        <f t="shared" si="28"/>
        <v/>
      </c>
      <c r="D199" s="134" t="str">
        <f t="shared" ca="1" si="29"/>
        <v/>
      </c>
      <c r="E199" s="214" t="str">
        <f>IF($B199&lt;=$N$14,申込書!$F$16,"")</f>
        <v/>
      </c>
      <c r="F199" s="214" t="str">
        <f t="shared" si="30"/>
        <v/>
      </c>
      <c r="G199" s="214"/>
      <c r="H199" s="240" t="str">
        <f t="shared" ca="1" si="31"/>
        <v/>
      </c>
    </row>
    <row r="200" spans="1:8">
      <c r="A200" s="211">
        <f t="shared" si="32"/>
        <v>199</v>
      </c>
      <c r="B200" s="212">
        <f t="shared" si="33"/>
        <v>199</v>
      </c>
      <c r="C200" s="213" t="str">
        <f t="shared" si="28"/>
        <v/>
      </c>
      <c r="D200" s="134" t="str">
        <f t="shared" ca="1" si="29"/>
        <v/>
      </c>
      <c r="E200" s="214" t="str">
        <f>IF($B200&lt;=$N$14,申込書!$F$16,"")</f>
        <v/>
      </c>
      <c r="F200" s="214" t="str">
        <f t="shared" si="30"/>
        <v/>
      </c>
      <c r="G200" s="214"/>
      <c r="H200" s="240" t="str">
        <f t="shared" ca="1" si="31"/>
        <v/>
      </c>
    </row>
    <row r="201" spans="1:8">
      <c r="A201" s="211">
        <f t="shared" si="32"/>
        <v>200</v>
      </c>
      <c r="B201" s="212">
        <f t="shared" si="33"/>
        <v>200</v>
      </c>
      <c r="C201" s="213" t="str">
        <f t="shared" si="28"/>
        <v/>
      </c>
      <c r="D201" s="134" t="str">
        <f t="shared" ca="1" si="29"/>
        <v/>
      </c>
      <c r="E201" s="214" t="str">
        <f>IF($B201&lt;=$N$14,申込書!$F$16,"")</f>
        <v/>
      </c>
      <c r="F201" s="214" t="str">
        <f t="shared" si="30"/>
        <v/>
      </c>
      <c r="G201" s="214"/>
      <c r="H201" s="240" t="str">
        <f t="shared" ca="1" si="31"/>
        <v/>
      </c>
    </row>
    <row r="202" spans="1:8">
      <c r="A202" s="211">
        <f t="shared" si="32"/>
        <v>201</v>
      </c>
      <c r="B202" s="212">
        <f t="shared" si="33"/>
        <v>201</v>
      </c>
      <c r="C202" s="213" t="str">
        <f t="shared" si="28"/>
        <v/>
      </c>
      <c r="D202" s="134" t="str">
        <f t="shared" ca="1" si="29"/>
        <v/>
      </c>
      <c r="E202" s="214" t="str">
        <f>IF($B202&lt;=$N$14,申込書!$F$16,"")</f>
        <v/>
      </c>
      <c r="F202" s="214" t="str">
        <f t="shared" si="30"/>
        <v/>
      </c>
      <c r="G202" s="214"/>
      <c r="H202" s="240" t="str">
        <f t="shared" ca="1" si="31"/>
        <v/>
      </c>
    </row>
    <row r="203" spans="1:8">
      <c r="A203" s="211">
        <f t="shared" si="32"/>
        <v>202</v>
      </c>
      <c r="B203" s="212">
        <f t="shared" si="33"/>
        <v>202</v>
      </c>
      <c r="C203" s="213" t="str">
        <f t="shared" si="28"/>
        <v/>
      </c>
      <c r="D203" s="134" t="str">
        <f t="shared" ca="1" si="29"/>
        <v/>
      </c>
      <c r="E203" s="214" t="str">
        <f>IF($B203&lt;=$N$14,申込書!$F$16,"")</f>
        <v/>
      </c>
      <c r="F203" s="214" t="str">
        <f t="shared" si="30"/>
        <v/>
      </c>
      <c r="G203" s="214"/>
      <c r="H203" s="240" t="str">
        <f t="shared" ca="1" si="31"/>
        <v/>
      </c>
    </row>
    <row r="204" spans="1:8">
      <c r="A204" s="211">
        <f t="shared" si="32"/>
        <v>203</v>
      </c>
      <c r="B204" s="212">
        <f t="shared" si="33"/>
        <v>203</v>
      </c>
      <c r="C204" s="213" t="str">
        <f t="shared" si="28"/>
        <v/>
      </c>
      <c r="D204" s="134" t="str">
        <f t="shared" ca="1" si="29"/>
        <v/>
      </c>
      <c r="E204" s="214" t="str">
        <f>IF($B204&lt;=$N$14,申込書!$F$16,"")</f>
        <v/>
      </c>
      <c r="F204" s="214" t="str">
        <f t="shared" si="30"/>
        <v/>
      </c>
      <c r="G204" s="214"/>
      <c r="H204" s="240" t="str">
        <f t="shared" ca="1" si="31"/>
        <v/>
      </c>
    </row>
    <row r="205" spans="1:8">
      <c r="A205" s="211">
        <f t="shared" si="32"/>
        <v>204</v>
      </c>
      <c r="B205" s="212">
        <f t="shared" si="33"/>
        <v>204</v>
      </c>
      <c r="C205" s="213" t="str">
        <f t="shared" si="28"/>
        <v/>
      </c>
      <c r="D205" s="134" t="str">
        <f t="shared" ca="1" si="29"/>
        <v/>
      </c>
      <c r="E205" s="214" t="str">
        <f>IF($B205&lt;=$N$14,申込書!$F$16,"")</f>
        <v/>
      </c>
      <c r="F205" s="214" t="str">
        <f t="shared" si="30"/>
        <v/>
      </c>
      <c r="G205" s="214"/>
      <c r="H205" s="240" t="str">
        <f t="shared" ca="1" si="31"/>
        <v/>
      </c>
    </row>
    <row r="206" spans="1:8">
      <c r="A206" s="211">
        <f t="shared" si="32"/>
        <v>205</v>
      </c>
      <c r="B206" s="212">
        <f t="shared" si="33"/>
        <v>205</v>
      </c>
      <c r="C206" s="213" t="str">
        <f t="shared" si="28"/>
        <v/>
      </c>
      <c r="D206" s="134" t="str">
        <f t="shared" ca="1" si="29"/>
        <v/>
      </c>
      <c r="E206" s="214" t="str">
        <f>IF($B206&lt;=$N$14,申込書!$F$16,"")</f>
        <v/>
      </c>
      <c r="F206" s="214" t="str">
        <f t="shared" si="30"/>
        <v/>
      </c>
      <c r="G206" s="214"/>
      <c r="H206" s="240" t="str">
        <f t="shared" ca="1" si="31"/>
        <v/>
      </c>
    </row>
    <row r="207" spans="1:8">
      <c r="A207" s="211">
        <f t="shared" si="32"/>
        <v>206</v>
      </c>
      <c r="B207" s="212">
        <f t="shared" si="33"/>
        <v>206</v>
      </c>
      <c r="C207" s="213" t="str">
        <f t="shared" si="28"/>
        <v/>
      </c>
      <c r="D207" s="134" t="str">
        <f t="shared" ca="1" si="29"/>
        <v/>
      </c>
      <c r="E207" s="214" t="str">
        <f>IF($B207&lt;=$N$14,申込書!$F$16,"")</f>
        <v/>
      </c>
      <c r="F207" s="214" t="str">
        <f t="shared" si="30"/>
        <v/>
      </c>
      <c r="G207" s="214"/>
      <c r="H207" s="240" t="str">
        <f t="shared" ca="1" si="31"/>
        <v/>
      </c>
    </row>
    <row r="208" spans="1:8">
      <c r="A208" s="211">
        <f t="shared" si="32"/>
        <v>207</v>
      </c>
      <c r="B208" s="212">
        <f t="shared" si="33"/>
        <v>207</v>
      </c>
      <c r="C208" s="213" t="str">
        <f t="shared" si="28"/>
        <v/>
      </c>
      <c r="D208" s="134" t="str">
        <f t="shared" ca="1" si="29"/>
        <v/>
      </c>
      <c r="E208" s="214" t="str">
        <f>IF($B208&lt;=$N$14,申込書!$F$16,"")</f>
        <v/>
      </c>
      <c r="F208" s="214" t="str">
        <f t="shared" si="30"/>
        <v/>
      </c>
      <c r="G208" s="214"/>
      <c r="H208" s="240" t="str">
        <f t="shared" ca="1" si="31"/>
        <v/>
      </c>
    </row>
    <row r="209" spans="1:8">
      <c r="A209" s="211">
        <f t="shared" si="32"/>
        <v>208</v>
      </c>
      <c r="B209" s="212">
        <f t="shared" si="33"/>
        <v>208</v>
      </c>
      <c r="C209" s="213" t="str">
        <f t="shared" si="28"/>
        <v/>
      </c>
      <c r="D209" s="134" t="str">
        <f t="shared" ca="1" si="29"/>
        <v/>
      </c>
      <c r="E209" s="214" t="str">
        <f>IF($B209&lt;=$N$14,申込書!$F$16,"")</f>
        <v/>
      </c>
      <c r="F209" s="214" t="str">
        <f t="shared" si="30"/>
        <v/>
      </c>
      <c r="G209" s="214"/>
      <c r="H209" s="240" t="str">
        <f t="shared" ca="1" si="31"/>
        <v/>
      </c>
    </row>
    <row r="210" spans="1:8">
      <c r="A210" s="211">
        <f t="shared" si="32"/>
        <v>209</v>
      </c>
      <c r="B210" s="212">
        <f t="shared" si="33"/>
        <v>209</v>
      </c>
      <c r="C210" s="213" t="str">
        <f t="shared" si="28"/>
        <v/>
      </c>
      <c r="D210" s="134" t="str">
        <f t="shared" ca="1" si="29"/>
        <v/>
      </c>
      <c r="E210" s="214" t="str">
        <f>IF($B210&lt;=$N$14,申込書!$F$16,"")</f>
        <v/>
      </c>
      <c r="F210" s="214" t="str">
        <f t="shared" si="30"/>
        <v/>
      </c>
      <c r="G210" s="214"/>
      <c r="H210" s="240" t="str">
        <f t="shared" ca="1" si="31"/>
        <v/>
      </c>
    </row>
    <row r="211" spans="1:8">
      <c r="A211" s="211">
        <f t="shared" si="32"/>
        <v>210</v>
      </c>
      <c r="B211" s="212">
        <f t="shared" si="33"/>
        <v>210</v>
      </c>
      <c r="C211" s="213" t="str">
        <f t="shared" si="28"/>
        <v/>
      </c>
      <c r="D211" s="134" t="str">
        <f t="shared" ca="1" si="29"/>
        <v/>
      </c>
      <c r="E211" s="214" t="str">
        <f>IF($B211&lt;=$N$14,申込書!$F$16,"")</f>
        <v/>
      </c>
      <c r="F211" s="214" t="str">
        <f t="shared" si="30"/>
        <v/>
      </c>
      <c r="G211" s="214"/>
      <c r="H211" s="240" t="str">
        <f t="shared" ca="1" si="31"/>
        <v/>
      </c>
    </row>
    <row r="212" spans="1:8">
      <c r="A212" s="211">
        <f t="shared" si="32"/>
        <v>211</v>
      </c>
      <c r="B212" s="212">
        <f t="shared" si="33"/>
        <v>211</v>
      </c>
      <c r="C212" s="213" t="str">
        <f t="shared" si="28"/>
        <v/>
      </c>
      <c r="D212" s="134" t="str">
        <f t="shared" ca="1" si="29"/>
        <v/>
      </c>
      <c r="E212" s="214" t="str">
        <f>IF($B212&lt;=$N$14,申込書!$F$16,"")</f>
        <v/>
      </c>
      <c r="F212" s="214" t="str">
        <f t="shared" si="30"/>
        <v/>
      </c>
      <c r="G212" s="214"/>
      <c r="H212" s="240" t="str">
        <f t="shared" ca="1" si="31"/>
        <v/>
      </c>
    </row>
    <row r="213" spans="1:8">
      <c r="A213" s="211">
        <f t="shared" si="32"/>
        <v>212</v>
      </c>
      <c r="B213" s="212">
        <f t="shared" si="33"/>
        <v>212</v>
      </c>
      <c r="C213" s="213" t="str">
        <f t="shared" si="28"/>
        <v/>
      </c>
      <c r="D213" s="134" t="str">
        <f t="shared" ca="1" si="29"/>
        <v/>
      </c>
      <c r="E213" s="214" t="str">
        <f>IF($B213&lt;=$N$14,申込書!$F$16,"")</f>
        <v/>
      </c>
      <c r="F213" s="214" t="str">
        <f t="shared" si="30"/>
        <v/>
      </c>
      <c r="G213" s="214"/>
      <c r="H213" s="240" t="str">
        <f t="shared" ca="1" si="31"/>
        <v/>
      </c>
    </row>
    <row r="214" spans="1:8">
      <c r="A214" s="211">
        <f t="shared" si="32"/>
        <v>213</v>
      </c>
      <c r="B214" s="212">
        <f t="shared" si="33"/>
        <v>213</v>
      </c>
      <c r="C214" s="213" t="str">
        <f t="shared" si="28"/>
        <v/>
      </c>
      <c r="D214" s="134" t="str">
        <f t="shared" ca="1" si="29"/>
        <v/>
      </c>
      <c r="E214" s="214" t="str">
        <f>IF($B214&lt;=$N$14,申込書!$F$16,"")</f>
        <v/>
      </c>
      <c r="F214" s="214" t="str">
        <f t="shared" si="30"/>
        <v/>
      </c>
      <c r="G214" s="214"/>
      <c r="H214" s="240" t="str">
        <f t="shared" ca="1" si="31"/>
        <v/>
      </c>
    </row>
    <row r="215" spans="1:8">
      <c r="A215" s="211">
        <f t="shared" si="32"/>
        <v>214</v>
      </c>
      <c r="B215" s="212">
        <f t="shared" si="33"/>
        <v>214</v>
      </c>
      <c r="C215" s="213" t="str">
        <f t="shared" si="28"/>
        <v/>
      </c>
      <c r="D215" s="134" t="str">
        <f t="shared" ca="1" si="29"/>
        <v/>
      </c>
      <c r="E215" s="214" t="str">
        <f>IF($B215&lt;=$N$14,申込書!$F$16,"")</f>
        <v/>
      </c>
      <c r="F215" s="214" t="str">
        <f t="shared" si="30"/>
        <v/>
      </c>
      <c r="G215" s="214"/>
      <c r="H215" s="240" t="str">
        <f t="shared" ca="1" si="31"/>
        <v/>
      </c>
    </row>
    <row r="216" spans="1:8">
      <c r="A216" s="211">
        <f t="shared" si="32"/>
        <v>215</v>
      </c>
      <c r="B216" s="212">
        <f t="shared" si="33"/>
        <v>215</v>
      </c>
      <c r="C216" s="213" t="str">
        <f t="shared" si="28"/>
        <v/>
      </c>
      <c r="D216" s="134" t="str">
        <f t="shared" ca="1" si="29"/>
        <v/>
      </c>
      <c r="E216" s="214" t="str">
        <f>IF($B216&lt;=$N$14,申込書!$F$16,"")</f>
        <v/>
      </c>
      <c r="F216" s="214" t="str">
        <f t="shared" si="30"/>
        <v/>
      </c>
      <c r="G216" s="214"/>
      <c r="H216" s="240" t="str">
        <f t="shared" ca="1" si="31"/>
        <v/>
      </c>
    </row>
    <row r="217" spans="1:8">
      <c r="A217" s="211">
        <f t="shared" si="32"/>
        <v>216</v>
      </c>
      <c r="B217" s="212">
        <f t="shared" si="33"/>
        <v>216</v>
      </c>
      <c r="C217" s="213" t="str">
        <f t="shared" si="28"/>
        <v/>
      </c>
      <c r="D217" s="134" t="str">
        <f t="shared" ca="1" si="29"/>
        <v/>
      </c>
      <c r="E217" s="214" t="str">
        <f>IF($B217&lt;=$N$14,申込書!$F$16,"")</f>
        <v/>
      </c>
      <c r="F217" s="214" t="str">
        <f t="shared" si="30"/>
        <v/>
      </c>
      <c r="G217" s="214"/>
      <c r="H217" s="240" t="str">
        <f t="shared" ca="1" si="31"/>
        <v/>
      </c>
    </row>
    <row r="218" spans="1:8">
      <c r="A218" s="211">
        <f t="shared" si="32"/>
        <v>217</v>
      </c>
      <c r="B218" s="212">
        <f t="shared" si="33"/>
        <v>217</v>
      </c>
      <c r="C218" s="213" t="str">
        <f t="shared" si="28"/>
        <v/>
      </c>
      <c r="D218" s="134" t="str">
        <f t="shared" ca="1" si="29"/>
        <v/>
      </c>
      <c r="E218" s="214" t="str">
        <f>IF($B218&lt;=$N$14,申込書!$F$16,"")</f>
        <v/>
      </c>
      <c r="F218" s="214" t="str">
        <f t="shared" si="30"/>
        <v/>
      </c>
      <c r="G218" s="214"/>
      <c r="H218" s="240" t="str">
        <f t="shared" ca="1" si="31"/>
        <v/>
      </c>
    </row>
    <row r="219" spans="1:8">
      <c r="A219" s="211">
        <f t="shared" si="32"/>
        <v>218</v>
      </c>
      <c r="B219" s="212">
        <f t="shared" si="33"/>
        <v>218</v>
      </c>
      <c r="C219" s="213" t="str">
        <f t="shared" si="28"/>
        <v/>
      </c>
      <c r="D219" s="134" t="str">
        <f t="shared" ca="1" si="29"/>
        <v/>
      </c>
      <c r="E219" s="214" t="str">
        <f>IF($B219&lt;=$N$14,申込書!$F$16,"")</f>
        <v/>
      </c>
      <c r="F219" s="214" t="str">
        <f t="shared" si="30"/>
        <v/>
      </c>
      <c r="G219" s="214"/>
      <c r="H219" s="240" t="str">
        <f t="shared" ca="1" si="31"/>
        <v/>
      </c>
    </row>
    <row r="220" spans="1:8">
      <c r="A220" s="211">
        <f t="shared" si="32"/>
        <v>219</v>
      </c>
      <c r="B220" s="212">
        <f t="shared" si="33"/>
        <v>219</v>
      </c>
      <c r="C220" s="213" t="str">
        <f t="shared" si="28"/>
        <v/>
      </c>
      <c r="D220" s="134" t="str">
        <f t="shared" ca="1" si="29"/>
        <v/>
      </c>
      <c r="E220" s="214" t="str">
        <f>IF($B220&lt;=$N$14,申込書!$F$16,"")</f>
        <v/>
      </c>
      <c r="F220" s="214" t="str">
        <f t="shared" si="30"/>
        <v/>
      </c>
      <c r="G220" s="214"/>
      <c r="H220" s="240" t="str">
        <f t="shared" ca="1" si="31"/>
        <v/>
      </c>
    </row>
    <row r="221" spans="1:8">
      <c r="A221" s="211">
        <f t="shared" si="32"/>
        <v>220</v>
      </c>
      <c r="B221" s="212">
        <f t="shared" si="33"/>
        <v>220</v>
      </c>
      <c r="C221" s="213" t="str">
        <f t="shared" si="28"/>
        <v/>
      </c>
      <c r="D221" s="134" t="str">
        <f t="shared" ca="1" si="29"/>
        <v/>
      </c>
      <c r="E221" s="214" t="str">
        <f>IF($B221&lt;=$N$14,申込書!$F$16,"")</f>
        <v/>
      </c>
      <c r="F221" s="214" t="str">
        <f t="shared" si="30"/>
        <v/>
      </c>
      <c r="G221" s="214"/>
      <c r="H221" s="240" t="str">
        <f t="shared" ca="1" si="31"/>
        <v/>
      </c>
    </row>
    <row r="222" spans="1:8">
      <c r="A222" s="211">
        <f t="shared" si="32"/>
        <v>221</v>
      </c>
      <c r="B222" s="212">
        <f t="shared" si="33"/>
        <v>221</v>
      </c>
      <c r="C222" s="213" t="str">
        <f t="shared" si="28"/>
        <v/>
      </c>
      <c r="D222" s="134" t="str">
        <f t="shared" ca="1" si="29"/>
        <v/>
      </c>
      <c r="E222" s="214" t="str">
        <f>IF($B222&lt;=$N$14,申込書!$F$16,"")</f>
        <v/>
      </c>
      <c r="F222" s="214" t="str">
        <f t="shared" si="30"/>
        <v/>
      </c>
      <c r="G222" s="214"/>
      <c r="H222" s="240" t="str">
        <f t="shared" ca="1" si="31"/>
        <v/>
      </c>
    </row>
    <row r="223" spans="1:8">
      <c r="A223" s="211">
        <f t="shared" si="32"/>
        <v>222</v>
      </c>
      <c r="B223" s="212">
        <f t="shared" si="33"/>
        <v>222</v>
      </c>
      <c r="C223" s="213" t="str">
        <f t="shared" si="28"/>
        <v/>
      </c>
      <c r="D223" s="134" t="str">
        <f t="shared" ca="1" si="29"/>
        <v/>
      </c>
      <c r="E223" s="214" t="str">
        <f>IF($B223&lt;=$N$14,申込書!$F$16,"")</f>
        <v/>
      </c>
      <c r="F223" s="214" t="str">
        <f t="shared" si="30"/>
        <v/>
      </c>
      <c r="G223" s="214"/>
      <c r="H223" s="240" t="str">
        <f t="shared" ca="1" si="31"/>
        <v/>
      </c>
    </row>
    <row r="224" spans="1:8">
      <c r="A224" s="211">
        <f t="shared" si="32"/>
        <v>223</v>
      </c>
      <c r="B224" s="212">
        <f t="shared" si="33"/>
        <v>223</v>
      </c>
      <c r="C224" s="213" t="str">
        <f t="shared" si="28"/>
        <v/>
      </c>
      <c r="D224" s="134" t="str">
        <f t="shared" ca="1" si="29"/>
        <v/>
      </c>
      <c r="E224" s="214" t="str">
        <f>IF($B224&lt;=$N$14,申込書!$F$16,"")</f>
        <v/>
      </c>
      <c r="F224" s="214" t="str">
        <f t="shared" si="30"/>
        <v/>
      </c>
      <c r="G224" s="214"/>
      <c r="H224" s="240" t="str">
        <f t="shared" ca="1" si="31"/>
        <v/>
      </c>
    </row>
    <row r="225" spans="1:8">
      <c r="A225" s="211">
        <f t="shared" si="32"/>
        <v>224</v>
      </c>
      <c r="B225" s="212">
        <f t="shared" si="33"/>
        <v>224</v>
      </c>
      <c r="C225" s="213" t="str">
        <f t="shared" si="28"/>
        <v/>
      </c>
      <c r="D225" s="134" t="str">
        <f t="shared" ca="1" si="29"/>
        <v/>
      </c>
      <c r="E225" s="214" t="str">
        <f>IF($B225&lt;=$N$14,申込書!$F$16,"")</f>
        <v/>
      </c>
      <c r="F225" s="214" t="str">
        <f t="shared" si="30"/>
        <v/>
      </c>
      <c r="G225" s="214"/>
      <c r="H225" s="240" t="str">
        <f t="shared" ca="1" si="31"/>
        <v/>
      </c>
    </row>
    <row r="226" spans="1:8">
      <c r="A226" s="211">
        <f t="shared" si="32"/>
        <v>225</v>
      </c>
      <c r="B226" s="212">
        <f t="shared" si="33"/>
        <v>225</v>
      </c>
      <c r="C226" s="213" t="str">
        <f t="shared" si="28"/>
        <v/>
      </c>
      <c r="D226" s="134" t="str">
        <f t="shared" ca="1" si="29"/>
        <v/>
      </c>
      <c r="E226" s="214" t="str">
        <f>IF($B226&lt;=$N$14,申込書!$F$16,"")</f>
        <v/>
      </c>
      <c r="F226" s="214" t="str">
        <f t="shared" si="30"/>
        <v/>
      </c>
      <c r="G226" s="214"/>
      <c r="H226" s="240" t="str">
        <f t="shared" ca="1" si="31"/>
        <v/>
      </c>
    </row>
    <row r="227" spans="1:8">
      <c r="A227" s="211">
        <f t="shared" si="32"/>
        <v>226</v>
      </c>
      <c r="B227" s="212">
        <f t="shared" si="33"/>
        <v>226</v>
      </c>
      <c r="C227" s="213" t="str">
        <f t="shared" si="28"/>
        <v/>
      </c>
      <c r="D227" s="134" t="str">
        <f t="shared" ca="1" si="29"/>
        <v/>
      </c>
      <c r="E227" s="214" t="str">
        <f>IF($B227&lt;=$N$14,申込書!$F$16,"")</f>
        <v/>
      </c>
      <c r="F227" s="214" t="str">
        <f t="shared" si="30"/>
        <v/>
      </c>
      <c r="G227" s="214"/>
      <c r="H227" s="240" t="str">
        <f t="shared" ca="1" si="31"/>
        <v/>
      </c>
    </row>
    <row r="228" spans="1:8">
      <c r="A228" s="211">
        <f t="shared" si="32"/>
        <v>227</v>
      </c>
      <c r="B228" s="212">
        <f t="shared" si="33"/>
        <v>227</v>
      </c>
      <c r="C228" s="213" t="str">
        <f t="shared" si="28"/>
        <v/>
      </c>
      <c r="D228" s="134" t="str">
        <f t="shared" ca="1" si="29"/>
        <v/>
      </c>
      <c r="E228" s="214" t="str">
        <f>IF($B228&lt;=$N$14,申込書!$F$16,"")</f>
        <v/>
      </c>
      <c r="F228" s="214" t="str">
        <f t="shared" si="30"/>
        <v/>
      </c>
      <c r="G228" s="214"/>
      <c r="H228" s="240" t="str">
        <f t="shared" ca="1" si="31"/>
        <v/>
      </c>
    </row>
    <row r="229" spans="1:8">
      <c r="A229" s="211">
        <f t="shared" si="32"/>
        <v>228</v>
      </c>
      <c r="B229" s="212">
        <f t="shared" si="33"/>
        <v>228</v>
      </c>
      <c r="C229" s="213" t="str">
        <f t="shared" si="28"/>
        <v/>
      </c>
      <c r="D229" s="134" t="str">
        <f t="shared" ca="1" si="29"/>
        <v/>
      </c>
      <c r="E229" s="214" t="str">
        <f>IF($B229&lt;=$N$14,申込書!$F$16,"")</f>
        <v/>
      </c>
      <c r="F229" s="214" t="str">
        <f t="shared" si="30"/>
        <v/>
      </c>
      <c r="G229" s="214"/>
      <c r="H229" s="240" t="str">
        <f t="shared" ca="1" si="31"/>
        <v/>
      </c>
    </row>
    <row r="230" spans="1:8">
      <c r="A230" s="211">
        <f t="shared" si="32"/>
        <v>229</v>
      </c>
      <c r="B230" s="212">
        <f t="shared" si="33"/>
        <v>229</v>
      </c>
      <c r="C230" s="213" t="str">
        <f t="shared" si="28"/>
        <v/>
      </c>
      <c r="D230" s="134" t="str">
        <f t="shared" ca="1" si="29"/>
        <v/>
      </c>
      <c r="E230" s="214" t="str">
        <f>IF($B230&lt;=$N$14,申込書!$F$16,"")</f>
        <v/>
      </c>
      <c r="F230" s="214" t="str">
        <f t="shared" si="30"/>
        <v/>
      </c>
      <c r="G230" s="214"/>
      <c r="H230" s="240" t="str">
        <f t="shared" ca="1" si="31"/>
        <v/>
      </c>
    </row>
    <row r="231" spans="1:8">
      <c r="A231" s="211">
        <f t="shared" si="32"/>
        <v>230</v>
      </c>
      <c r="B231" s="212">
        <f t="shared" si="33"/>
        <v>230</v>
      </c>
      <c r="C231" s="213" t="str">
        <f t="shared" si="28"/>
        <v/>
      </c>
      <c r="D231" s="134" t="str">
        <f t="shared" ca="1" si="29"/>
        <v/>
      </c>
      <c r="E231" s="214" t="str">
        <f>IF($B231&lt;=$N$14,申込書!$F$16,"")</f>
        <v/>
      </c>
      <c r="F231" s="214" t="str">
        <f t="shared" si="30"/>
        <v/>
      </c>
      <c r="G231" s="214"/>
      <c r="H231" s="240" t="str">
        <f t="shared" ca="1" si="31"/>
        <v/>
      </c>
    </row>
    <row r="232" spans="1:8">
      <c r="A232" s="211">
        <f t="shared" si="32"/>
        <v>231</v>
      </c>
      <c r="B232" s="212">
        <f t="shared" si="33"/>
        <v>231</v>
      </c>
      <c r="C232" s="213" t="str">
        <f t="shared" si="28"/>
        <v/>
      </c>
      <c r="D232" s="134" t="str">
        <f t="shared" ca="1" si="29"/>
        <v/>
      </c>
      <c r="E232" s="214" t="str">
        <f>IF($B232&lt;=$N$14,申込書!$F$16,"")</f>
        <v/>
      </c>
      <c r="F232" s="214" t="str">
        <f t="shared" si="30"/>
        <v/>
      </c>
      <c r="G232" s="214"/>
      <c r="H232" s="240" t="str">
        <f t="shared" ca="1" si="31"/>
        <v/>
      </c>
    </row>
    <row r="233" spans="1:8">
      <c r="A233" s="211">
        <f t="shared" si="32"/>
        <v>232</v>
      </c>
      <c r="B233" s="212">
        <f t="shared" si="33"/>
        <v>232</v>
      </c>
      <c r="C233" s="213" t="str">
        <f t="shared" si="28"/>
        <v/>
      </c>
      <c r="D233" s="134" t="str">
        <f t="shared" ca="1" si="29"/>
        <v/>
      </c>
      <c r="E233" s="214" t="str">
        <f>IF($B233&lt;=$N$14,申込書!$F$16,"")</f>
        <v/>
      </c>
      <c r="F233" s="214" t="str">
        <f t="shared" si="30"/>
        <v/>
      </c>
      <c r="G233" s="214"/>
      <c r="H233" s="240" t="str">
        <f t="shared" ca="1" si="31"/>
        <v/>
      </c>
    </row>
    <row r="234" spans="1:8">
      <c r="A234" s="211">
        <f t="shared" si="32"/>
        <v>233</v>
      </c>
      <c r="B234" s="212">
        <f t="shared" si="33"/>
        <v>233</v>
      </c>
      <c r="C234" s="213" t="str">
        <f t="shared" si="28"/>
        <v/>
      </c>
      <c r="D234" s="134" t="str">
        <f t="shared" ca="1" si="29"/>
        <v/>
      </c>
      <c r="E234" s="214" t="str">
        <f>IF($B234&lt;=$N$14,申込書!$F$16,"")</f>
        <v/>
      </c>
      <c r="F234" s="214" t="str">
        <f t="shared" si="30"/>
        <v/>
      </c>
      <c r="G234" s="214"/>
      <c r="H234" s="240" t="str">
        <f t="shared" ca="1" si="31"/>
        <v/>
      </c>
    </row>
    <row r="235" spans="1:8">
      <c r="A235" s="211">
        <f t="shared" si="32"/>
        <v>234</v>
      </c>
      <c r="B235" s="212">
        <f t="shared" si="33"/>
        <v>234</v>
      </c>
      <c r="C235" s="213" t="str">
        <f t="shared" si="28"/>
        <v/>
      </c>
      <c r="D235" s="134" t="str">
        <f t="shared" ca="1" si="29"/>
        <v/>
      </c>
      <c r="E235" s="214" t="str">
        <f>IF($B235&lt;=$N$14,申込書!$F$16,"")</f>
        <v/>
      </c>
      <c r="F235" s="214" t="str">
        <f t="shared" si="30"/>
        <v/>
      </c>
      <c r="G235" s="214"/>
      <c r="H235" s="240" t="str">
        <f t="shared" ca="1" si="31"/>
        <v/>
      </c>
    </row>
    <row r="236" spans="1:8">
      <c r="A236" s="211">
        <f t="shared" si="32"/>
        <v>235</v>
      </c>
      <c r="B236" s="212">
        <f t="shared" si="33"/>
        <v>235</v>
      </c>
      <c r="C236" s="213" t="str">
        <f t="shared" si="28"/>
        <v/>
      </c>
      <c r="D236" s="134" t="str">
        <f t="shared" ca="1" si="29"/>
        <v/>
      </c>
      <c r="E236" s="214" t="str">
        <f>IF($B236&lt;=$N$14,申込書!$F$16,"")</f>
        <v/>
      </c>
      <c r="F236" s="214" t="str">
        <f t="shared" si="30"/>
        <v/>
      </c>
      <c r="G236" s="214"/>
      <c r="H236" s="240" t="str">
        <f t="shared" ca="1" si="31"/>
        <v/>
      </c>
    </row>
    <row r="237" spans="1:8">
      <c r="A237" s="211">
        <f t="shared" si="32"/>
        <v>236</v>
      </c>
      <c r="B237" s="212">
        <f t="shared" si="33"/>
        <v>236</v>
      </c>
      <c r="C237" s="213" t="str">
        <f t="shared" si="28"/>
        <v/>
      </c>
      <c r="D237" s="134" t="str">
        <f t="shared" ca="1" si="29"/>
        <v/>
      </c>
      <c r="E237" s="214" t="str">
        <f>IF($B237&lt;=$N$14,申込書!$F$16,"")</f>
        <v/>
      </c>
      <c r="F237" s="214" t="str">
        <f t="shared" si="30"/>
        <v/>
      </c>
      <c r="G237" s="214"/>
      <c r="H237" s="240" t="str">
        <f t="shared" ca="1" si="31"/>
        <v/>
      </c>
    </row>
    <row r="238" spans="1:8">
      <c r="A238" s="211">
        <f t="shared" si="32"/>
        <v>237</v>
      </c>
      <c r="B238" s="212">
        <f t="shared" si="33"/>
        <v>237</v>
      </c>
      <c r="C238" s="213" t="str">
        <f t="shared" si="28"/>
        <v/>
      </c>
      <c r="D238" s="134" t="str">
        <f t="shared" ca="1" si="29"/>
        <v/>
      </c>
      <c r="E238" s="214" t="str">
        <f>IF($B238&lt;=$N$14,申込書!$F$16,"")</f>
        <v/>
      </c>
      <c r="F238" s="214" t="str">
        <f t="shared" si="30"/>
        <v/>
      </c>
      <c r="G238" s="214"/>
      <c r="H238" s="240" t="str">
        <f t="shared" ca="1" si="31"/>
        <v/>
      </c>
    </row>
    <row r="239" spans="1:8">
      <c r="A239" s="211">
        <f t="shared" si="32"/>
        <v>238</v>
      </c>
      <c r="B239" s="212">
        <f t="shared" si="33"/>
        <v>238</v>
      </c>
      <c r="C239" s="213" t="str">
        <f t="shared" si="28"/>
        <v/>
      </c>
      <c r="D239" s="134" t="str">
        <f t="shared" ca="1" si="29"/>
        <v/>
      </c>
      <c r="E239" s="214" t="str">
        <f>IF($B239&lt;=$N$14,申込書!$F$16,"")</f>
        <v/>
      </c>
      <c r="F239" s="214" t="str">
        <f t="shared" si="30"/>
        <v/>
      </c>
      <c r="G239" s="214"/>
      <c r="H239" s="240" t="str">
        <f t="shared" ca="1" si="31"/>
        <v/>
      </c>
    </row>
    <row r="240" spans="1:8">
      <c r="A240" s="211">
        <f t="shared" si="32"/>
        <v>239</v>
      </c>
      <c r="B240" s="212">
        <f t="shared" si="33"/>
        <v>239</v>
      </c>
      <c r="C240" s="213" t="str">
        <f t="shared" si="28"/>
        <v/>
      </c>
      <c r="D240" s="134" t="str">
        <f t="shared" ca="1" si="29"/>
        <v/>
      </c>
      <c r="E240" s="214" t="str">
        <f>IF($B240&lt;=$N$14,申込書!$F$16,"")</f>
        <v/>
      </c>
      <c r="F240" s="214" t="str">
        <f t="shared" si="30"/>
        <v/>
      </c>
      <c r="G240" s="214"/>
      <c r="H240" s="240" t="str">
        <f t="shared" ca="1" si="31"/>
        <v/>
      </c>
    </row>
    <row r="241" spans="1:8">
      <c r="A241" s="211">
        <f t="shared" si="32"/>
        <v>240</v>
      </c>
      <c r="B241" s="212">
        <f t="shared" si="33"/>
        <v>240</v>
      </c>
      <c r="C241" s="213" t="str">
        <f t="shared" si="28"/>
        <v/>
      </c>
      <c r="D241" s="134" t="str">
        <f t="shared" ca="1" si="29"/>
        <v/>
      </c>
      <c r="E241" s="214" t="str">
        <f>IF($B241&lt;=$N$14,申込書!$F$16,"")</f>
        <v/>
      </c>
      <c r="F241" s="214" t="str">
        <f t="shared" si="30"/>
        <v/>
      </c>
      <c r="G241" s="214"/>
      <c r="H241" s="240" t="str">
        <f t="shared" ca="1" si="31"/>
        <v/>
      </c>
    </row>
    <row r="242" spans="1:8">
      <c r="A242" s="211">
        <f t="shared" si="32"/>
        <v>241</v>
      </c>
      <c r="B242" s="212">
        <f t="shared" si="33"/>
        <v>241</v>
      </c>
      <c r="C242" s="213" t="str">
        <f t="shared" si="28"/>
        <v/>
      </c>
      <c r="D242" s="134" t="str">
        <f t="shared" ca="1" si="29"/>
        <v/>
      </c>
      <c r="E242" s="214" t="str">
        <f>IF($B242&lt;=$N$14,申込書!$F$16,"")</f>
        <v/>
      </c>
      <c r="F242" s="214" t="str">
        <f t="shared" si="30"/>
        <v/>
      </c>
      <c r="G242" s="214"/>
      <c r="H242" s="240" t="str">
        <f t="shared" ca="1" si="31"/>
        <v/>
      </c>
    </row>
    <row r="243" spans="1:8">
      <c r="A243" s="211">
        <f t="shared" si="32"/>
        <v>242</v>
      </c>
      <c r="B243" s="212">
        <f t="shared" si="33"/>
        <v>242</v>
      </c>
      <c r="C243" s="213" t="str">
        <f t="shared" si="28"/>
        <v/>
      </c>
      <c r="D243" s="134" t="str">
        <f t="shared" ca="1" si="29"/>
        <v/>
      </c>
      <c r="E243" s="214" t="str">
        <f>IF($B243&lt;=$N$14,申込書!$F$16,"")</f>
        <v/>
      </c>
      <c r="F243" s="214" t="str">
        <f t="shared" si="30"/>
        <v/>
      </c>
      <c r="G243" s="214"/>
      <c r="H243" s="240" t="str">
        <f t="shared" ca="1" si="31"/>
        <v/>
      </c>
    </row>
    <row r="244" spans="1:8">
      <c r="A244" s="211">
        <f t="shared" si="32"/>
        <v>243</v>
      </c>
      <c r="B244" s="212">
        <f t="shared" si="33"/>
        <v>243</v>
      </c>
      <c r="C244" s="213" t="str">
        <f t="shared" si="28"/>
        <v/>
      </c>
      <c r="D244" s="134" t="str">
        <f t="shared" ca="1" si="29"/>
        <v/>
      </c>
      <c r="E244" s="214" t="str">
        <f>IF($B244&lt;=$N$14,申込書!$F$16,"")</f>
        <v/>
      </c>
      <c r="F244" s="214" t="str">
        <f t="shared" si="30"/>
        <v/>
      </c>
      <c r="G244" s="214"/>
      <c r="H244" s="240" t="str">
        <f t="shared" ca="1" si="31"/>
        <v/>
      </c>
    </row>
    <row r="245" spans="1:8">
      <c r="A245" s="211">
        <f t="shared" si="32"/>
        <v>244</v>
      </c>
      <c r="B245" s="212">
        <f t="shared" si="33"/>
        <v>244</v>
      </c>
      <c r="C245" s="213" t="str">
        <f t="shared" si="28"/>
        <v/>
      </c>
      <c r="D245" s="134" t="str">
        <f t="shared" ca="1" si="29"/>
        <v/>
      </c>
      <c r="E245" s="214" t="str">
        <f>IF($B245&lt;=$N$14,申込書!$F$16,"")</f>
        <v/>
      </c>
      <c r="F245" s="214" t="str">
        <f t="shared" si="30"/>
        <v/>
      </c>
      <c r="G245" s="214"/>
      <c r="H245" s="240" t="str">
        <f t="shared" ca="1" si="31"/>
        <v/>
      </c>
    </row>
    <row r="246" spans="1:8">
      <c r="A246" s="211">
        <f t="shared" si="32"/>
        <v>245</v>
      </c>
      <c r="B246" s="212">
        <f t="shared" si="33"/>
        <v>245</v>
      </c>
      <c r="C246" s="213" t="str">
        <f t="shared" si="28"/>
        <v/>
      </c>
      <c r="D246" s="134" t="str">
        <f t="shared" ca="1" si="29"/>
        <v/>
      </c>
      <c r="E246" s="214" t="str">
        <f>IF($B246&lt;=$N$14,申込書!$F$16,"")</f>
        <v/>
      </c>
      <c r="F246" s="214" t="str">
        <f t="shared" si="30"/>
        <v/>
      </c>
      <c r="G246" s="214"/>
      <c r="H246" s="240" t="str">
        <f t="shared" ca="1" si="31"/>
        <v/>
      </c>
    </row>
    <row r="247" spans="1:8">
      <c r="A247" s="211">
        <f t="shared" si="32"/>
        <v>246</v>
      </c>
      <c r="B247" s="212">
        <f t="shared" si="33"/>
        <v>246</v>
      </c>
      <c r="C247" s="213" t="str">
        <f t="shared" si="28"/>
        <v/>
      </c>
      <c r="D247" s="134" t="str">
        <f t="shared" ca="1" si="29"/>
        <v/>
      </c>
      <c r="E247" s="214" t="str">
        <f>IF($B247&lt;=$N$14,申込書!$F$16,"")</f>
        <v/>
      </c>
      <c r="F247" s="214" t="str">
        <f t="shared" si="30"/>
        <v/>
      </c>
      <c r="G247" s="214"/>
      <c r="H247" s="240" t="str">
        <f t="shared" ca="1" si="31"/>
        <v/>
      </c>
    </row>
    <row r="248" spans="1:8">
      <c r="A248" s="211">
        <f t="shared" si="32"/>
        <v>247</v>
      </c>
      <c r="B248" s="212">
        <f t="shared" si="33"/>
        <v>247</v>
      </c>
      <c r="C248" s="213" t="str">
        <f t="shared" si="28"/>
        <v/>
      </c>
      <c r="D248" s="134" t="str">
        <f t="shared" ca="1" si="29"/>
        <v/>
      </c>
      <c r="E248" s="214" t="str">
        <f>IF($B248&lt;=$N$14,申込書!$F$16,"")</f>
        <v/>
      </c>
      <c r="F248" s="214" t="str">
        <f t="shared" si="30"/>
        <v/>
      </c>
      <c r="G248" s="214"/>
      <c r="H248" s="240" t="str">
        <f t="shared" ca="1" si="31"/>
        <v/>
      </c>
    </row>
    <row r="249" spans="1:8">
      <c r="A249" s="211">
        <f t="shared" si="32"/>
        <v>248</v>
      </c>
      <c r="B249" s="212">
        <f t="shared" si="33"/>
        <v>248</v>
      </c>
      <c r="C249" s="213" t="str">
        <f t="shared" si="28"/>
        <v/>
      </c>
      <c r="D249" s="134" t="str">
        <f t="shared" ca="1" si="29"/>
        <v/>
      </c>
      <c r="E249" s="214" t="str">
        <f>IF($B249&lt;=$N$14,申込書!$F$16,"")</f>
        <v/>
      </c>
      <c r="F249" s="214" t="str">
        <f t="shared" si="30"/>
        <v/>
      </c>
      <c r="G249" s="214"/>
      <c r="H249" s="240" t="str">
        <f t="shared" ca="1" si="31"/>
        <v/>
      </c>
    </row>
    <row r="250" spans="1:8">
      <c r="A250" s="211">
        <f t="shared" si="32"/>
        <v>249</v>
      </c>
      <c r="B250" s="212">
        <f t="shared" si="33"/>
        <v>249</v>
      </c>
      <c r="C250" s="213" t="str">
        <f t="shared" si="28"/>
        <v/>
      </c>
      <c r="D250" s="134" t="str">
        <f t="shared" ca="1" si="29"/>
        <v/>
      </c>
      <c r="E250" s="214" t="str">
        <f>IF($B250&lt;=$N$14,申込書!$F$16,"")</f>
        <v/>
      </c>
      <c r="F250" s="214" t="str">
        <f t="shared" si="30"/>
        <v/>
      </c>
      <c r="G250" s="214"/>
      <c r="H250" s="240" t="str">
        <f t="shared" ca="1" si="31"/>
        <v/>
      </c>
    </row>
    <row r="251" spans="1:8">
      <c r="A251" s="211">
        <f t="shared" si="32"/>
        <v>250</v>
      </c>
      <c r="B251" s="212">
        <f t="shared" si="33"/>
        <v>250</v>
      </c>
      <c r="C251" s="213" t="str">
        <f t="shared" si="28"/>
        <v/>
      </c>
      <c r="D251" s="134" t="str">
        <f t="shared" ca="1" si="29"/>
        <v/>
      </c>
      <c r="E251" s="214" t="str">
        <f>IF($B251&lt;=$N$14,申込書!$F$16,"")</f>
        <v/>
      </c>
      <c r="F251" s="214" t="str">
        <f t="shared" si="30"/>
        <v/>
      </c>
      <c r="G251" s="214"/>
      <c r="H251" s="240" t="str">
        <f t="shared" ca="1" si="31"/>
        <v/>
      </c>
    </row>
    <row r="252" spans="1:8">
      <c r="A252" s="211">
        <f t="shared" si="32"/>
        <v>251</v>
      </c>
      <c r="B252" s="212">
        <f t="shared" si="33"/>
        <v>251</v>
      </c>
      <c r="C252" s="213" t="str">
        <f t="shared" si="28"/>
        <v/>
      </c>
      <c r="D252" s="134" t="str">
        <f t="shared" ca="1" si="29"/>
        <v/>
      </c>
      <c r="E252" s="214" t="str">
        <f>IF($B252&lt;=$N$14,申込書!$F$16,"")</f>
        <v/>
      </c>
      <c r="F252" s="214" t="str">
        <f t="shared" si="30"/>
        <v/>
      </c>
      <c r="G252" s="214"/>
      <c r="H252" s="240" t="str">
        <f t="shared" ca="1" si="31"/>
        <v/>
      </c>
    </row>
    <row r="253" spans="1:8">
      <c r="A253" s="211">
        <f t="shared" si="32"/>
        <v>252</v>
      </c>
      <c r="B253" s="212">
        <f t="shared" si="33"/>
        <v>252</v>
      </c>
      <c r="C253" s="213" t="str">
        <f t="shared" si="28"/>
        <v/>
      </c>
      <c r="D253" s="134" t="str">
        <f t="shared" ca="1" si="29"/>
        <v/>
      </c>
      <c r="E253" s="214" t="str">
        <f>IF($B253&lt;=$N$14,申込書!$F$16,"")</f>
        <v/>
      </c>
      <c r="F253" s="214" t="str">
        <f t="shared" si="30"/>
        <v/>
      </c>
      <c r="G253" s="214"/>
      <c r="H253" s="240" t="str">
        <f t="shared" ca="1" si="31"/>
        <v/>
      </c>
    </row>
    <row r="254" spans="1:8">
      <c r="A254" s="211">
        <f t="shared" si="32"/>
        <v>253</v>
      </c>
      <c r="B254" s="212">
        <f t="shared" si="33"/>
        <v>253</v>
      </c>
      <c r="C254" s="213" t="str">
        <f t="shared" si="28"/>
        <v/>
      </c>
      <c r="D254" s="134" t="str">
        <f t="shared" ca="1" si="29"/>
        <v/>
      </c>
      <c r="E254" s="214" t="str">
        <f>IF($B254&lt;=$N$14,申込書!$F$16,"")</f>
        <v/>
      </c>
      <c r="F254" s="214" t="str">
        <f t="shared" si="30"/>
        <v/>
      </c>
      <c r="G254" s="214"/>
      <c r="H254" s="240" t="str">
        <f t="shared" ca="1" si="31"/>
        <v/>
      </c>
    </row>
    <row r="255" spans="1:8">
      <c r="A255" s="211">
        <f t="shared" si="32"/>
        <v>254</v>
      </c>
      <c r="B255" s="212">
        <f t="shared" si="33"/>
        <v>254</v>
      </c>
      <c r="C255" s="213" t="str">
        <f t="shared" si="28"/>
        <v/>
      </c>
      <c r="D255" s="134" t="str">
        <f t="shared" ca="1" si="29"/>
        <v/>
      </c>
      <c r="E255" s="214" t="str">
        <f>IF($B255&lt;=$N$14,申込書!$F$16,"")</f>
        <v/>
      </c>
      <c r="F255" s="214" t="str">
        <f t="shared" si="30"/>
        <v/>
      </c>
      <c r="G255" s="214"/>
      <c r="H255" s="240" t="str">
        <f t="shared" ca="1" si="31"/>
        <v/>
      </c>
    </row>
    <row r="256" spans="1:8">
      <c r="A256" s="211">
        <f t="shared" si="32"/>
        <v>255</v>
      </c>
      <c r="B256" s="212">
        <f t="shared" si="33"/>
        <v>255</v>
      </c>
      <c r="C256" s="213" t="str">
        <f t="shared" si="28"/>
        <v/>
      </c>
      <c r="D256" s="134" t="str">
        <f t="shared" ca="1" si="29"/>
        <v/>
      </c>
      <c r="E256" s="214" t="str">
        <f>IF($B256&lt;=$N$14,申込書!$F$16,"")</f>
        <v/>
      </c>
      <c r="F256" s="214" t="str">
        <f t="shared" si="30"/>
        <v/>
      </c>
      <c r="G256" s="214"/>
      <c r="H256" s="240" t="str">
        <f t="shared" ca="1" si="31"/>
        <v/>
      </c>
    </row>
    <row r="257" spans="1:8">
      <c r="A257" s="211">
        <f t="shared" si="32"/>
        <v>256</v>
      </c>
      <c r="B257" s="212">
        <f t="shared" si="33"/>
        <v>256</v>
      </c>
      <c r="C257" s="213" t="str">
        <f t="shared" si="28"/>
        <v/>
      </c>
      <c r="D257" s="134" t="str">
        <f t="shared" ca="1" si="29"/>
        <v/>
      </c>
      <c r="E257" s="214" t="str">
        <f>IF($B257&lt;=$N$14,申込書!$F$16,"")</f>
        <v/>
      </c>
      <c r="F257" s="214" t="str">
        <f t="shared" si="30"/>
        <v/>
      </c>
      <c r="G257" s="214"/>
      <c r="H257" s="240" t="str">
        <f t="shared" ca="1" si="31"/>
        <v/>
      </c>
    </row>
    <row r="258" spans="1:8">
      <c r="A258" s="211">
        <f t="shared" si="32"/>
        <v>257</v>
      </c>
      <c r="B258" s="212">
        <f t="shared" si="33"/>
        <v>257</v>
      </c>
      <c r="C258" s="213" t="str">
        <f t="shared" ref="C258:C321" si="34">IF($B258&lt;=$N$14,VLOOKUP($B258,申込,2,TRUE),"")</f>
        <v/>
      </c>
      <c r="D258" s="134" t="str">
        <f t="shared" ref="D258:D321" ca="1" si="35">IFERROR(OFFSET($L$17,VALUE(MID(OFFSET($L$17,31,MATCH($C258,$M$17:$X$17,0)),A258*2-1,2)),0),"")</f>
        <v/>
      </c>
      <c r="E258" s="214" t="str">
        <f>IF($B258&lt;=$N$14,申込書!$F$16,"")</f>
        <v/>
      </c>
      <c r="F258" s="214" t="str">
        <f t="shared" ref="F258:F321" si="36">IF($B258&lt;=$N$14,EDATE(E258,VLOOKUP($B258,申込,3,TRUE))-1,"")</f>
        <v/>
      </c>
      <c r="G258" s="214"/>
      <c r="H258" s="240" t="str">
        <f t="shared" ref="H258:H321" ca="1" si="37">IF(D258&lt;&gt;"",(VLOOKUP(D258,user,2,FALSE)="error")*1,"")</f>
        <v/>
      </c>
    </row>
    <row r="259" spans="1:8">
      <c r="A259" s="211">
        <f t="shared" ref="A259:A322" si="38">IF(C259&lt;&gt;C258,1,A258+1)</f>
        <v>258</v>
      </c>
      <c r="B259" s="212">
        <f t="shared" si="33"/>
        <v>258</v>
      </c>
      <c r="C259" s="213" t="str">
        <f t="shared" si="34"/>
        <v/>
      </c>
      <c r="D259" s="134" t="str">
        <f t="shared" ca="1" si="35"/>
        <v/>
      </c>
      <c r="E259" s="214" t="str">
        <f>IF($B259&lt;=$N$14,申込書!$F$16,"")</f>
        <v/>
      </c>
      <c r="F259" s="214" t="str">
        <f t="shared" si="36"/>
        <v/>
      </c>
      <c r="G259" s="214"/>
      <c r="H259" s="240" t="str">
        <f t="shared" ca="1" si="37"/>
        <v/>
      </c>
    </row>
    <row r="260" spans="1:8">
      <c r="A260" s="211">
        <f t="shared" si="38"/>
        <v>259</v>
      </c>
      <c r="B260" s="212">
        <f t="shared" ref="B260:B323" si="39">B259+1</f>
        <v>259</v>
      </c>
      <c r="C260" s="213" t="str">
        <f t="shared" si="34"/>
        <v/>
      </c>
      <c r="D260" s="134" t="str">
        <f t="shared" ca="1" si="35"/>
        <v/>
      </c>
      <c r="E260" s="214" t="str">
        <f>IF($B260&lt;=$N$14,申込書!$F$16,"")</f>
        <v/>
      </c>
      <c r="F260" s="214" t="str">
        <f t="shared" si="36"/>
        <v/>
      </c>
      <c r="G260" s="214"/>
      <c r="H260" s="240" t="str">
        <f t="shared" ca="1" si="37"/>
        <v/>
      </c>
    </row>
    <row r="261" spans="1:8">
      <c r="A261" s="211">
        <f t="shared" si="38"/>
        <v>260</v>
      </c>
      <c r="B261" s="212">
        <f t="shared" si="39"/>
        <v>260</v>
      </c>
      <c r="C261" s="213" t="str">
        <f t="shared" si="34"/>
        <v/>
      </c>
      <c r="D261" s="134" t="str">
        <f t="shared" ca="1" si="35"/>
        <v/>
      </c>
      <c r="E261" s="214" t="str">
        <f>IF($B261&lt;=$N$14,申込書!$F$16,"")</f>
        <v/>
      </c>
      <c r="F261" s="214" t="str">
        <f t="shared" si="36"/>
        <v/>
      </c>
      <c r="G261" s="214"/>
      <c r="H261" s="240" t="str">
        <f t="shared" ca="1" si="37"/>
        <v/>
      </c>
    </row>
    <row r="262" spans="1:8">
      <c r="A262" s="211">
        <f t="shared" si="38"/>
        <v>261</v>
      </c>
      <c r="B262" s="212">
        <f t="shared" si="39"/>
        <v>261</v>
      </c>
      <c r="C262" s="213" t="str">
        <f t="shared" si="34"/>
        <v/>
      </c>
      <c r="D262" s="134" t="str">
        <f t="shared" ca="1" si="35"/>
        <v/>
      </c>
      <c r="E262" s="214" t="str">
        <f>IF($B262&lt;=$N$14,申込書!$F$16,"")</f>
        <v/>
      </c>
      <c r="F262" s="214" t="str">
        <f t="shared" si="36"/>
        <v/>
      </c>
      <c r="G262" s="214"/>
      <c r="H262" s="240" t="str">
        <f t="shared" ca="1" si="37"/>
        <v/>
      </c>
    </row>
    <row r="263" spans="1:8">
      <c r="A263" s="211">
        <f t="shared" si="38"/>
        <v>262</v>
      </c>
      <c r="B263" s="212">
        <f t="shared" si="39"/>
        <v>262</v>
      </c>
      <c r="C263" s="213" t="str">
        <f t="shared" si="34"/>
        <v/>
      </c>
      <c r="D263" s="134" t="str">
        <f t="shared" ca="1" si="35"/>
        <v/>
      </c>
      <c r="E263" s="214" t="str">
        <f>IF($B263&lt;=$N$14,申込書!$F$16,"")</f>
        <v/>
      </c>
      <c r="F263" s="214" t="str">
        <f t="shared" si="36"/>
        <v/>
      </c>
      <c r="G263" s="214"/>
      <c r="H263" s="240" t="str">
        <f t="shared" ca="1" si="37"/>
        <v/>
      </c>
    </row>
    <row r="264" spans="1:8">
      <c r="A264" s="211">
        <f t="shared" si="38"/>
        <v>263</v>
      </c>
      <c r="B264" s="212">
        <f t="shared" si="39"/>
        <v>263</v>
      </c>
      <c r="C264" s="213" t="str">
        <f t="shared" si="34"/>
        <v/>
      </c>
      <c r="D264" s="134" t="str">
        <f t="shared" ca="1" si="35"/>
        <v/>
      </c>
      <c r="E264" s="214" t="str">
        <f>IF($B264&lt;=$N$14,申込書!$F$16,"")</f>
        <v/>
      </c>
      <c r="F264" s="214" t="str">
        <f t="shared" si="36"/>
        <v/>
      </c>
      <c r="G264" s="214"/>
      <c r="H264" s="240" t="str">
        <f t="shared" ca="1" si="37"/>
        <v/>
      </c>
    </row>
    <row r="265" spans="1:8">
      <c r="A265" s="211">
        <f t="shared" si="38"/>
        <v>264</v>
      </c>
      <c r="B265" s="212">
        <f t="shared" si="39"/>
        <v>264</v>
      </c>
      <c r="C265" s="213" t="str">
        <f t="shared" si="34"/>
        <v/>
      </c>
      <c r="D265" s="134" t="str">
        <f t="shared" ca="1" si="35"/>
        <v/>
      </c>
      <c r="E265" s="214" t="str">
        <f>IF($B265&lt;=$N$14,申込書!$F$16,"")</f>
        <v/>
      </c>
      <c r="F265" s="214" t="str">
        <f t="shared" si="36"/>
        <v/>
      </c>
      <c r="G265" s="214"/>
      <c r="H265" s="240" t="str">
        <f t="shared" ca="1" si="37"/>
        <v/>
      </c>
    </row>
    <row r="266" spans="1:8">
      <c r="A266" s="211">
        <f t="shared" si="38"/>
        <v>265</v>
      </c>
      <c r="B266" s="212">
        <f t="shared" si="39"/>
        <v>265</v>
      </c>
      <c r="C266" s="213" t="str">
        <f t="shared" si="34"/>
        <v/>
      </c>
      <c r="D266" s="134" t="str">
        <f t="shared" ca="1" si="35"/>
        <v/>
      </c>
      <c r="E266" s="214" t="str">
        <f>IF($B266&lt;=$N$14,申込書!$F$16,"")</f>
        <v/>
      </c>
      <c r="F266" s="214" t="str">
        <f t="shared" si="36"/>
        <v/>
      </c>
      <c r="G266" s="214"/>
      <c r="H266" s="240" t="str">
        <f t="shared" ca="1" si="37"/>
        <v/>
      </c>
    </row>
    <row r="267" spans="1:8">
      <c r="A267" s="211">
        <f t="shared" si="38"/>
        <v>266</v>
      </c>
      <c r="B267" s="212">
        <f t="shared" si="39"/>
        <v>266</v>
      </c>
      <c r="C267" s="213" t="str">
        <f t="shared" si="34"/>
        <v/>
      </c>
      <c r="D267" s="134" t="str">
        <f t="shared" ca="1" si="35"/>
        <v/>
      </c>
      <c r="E267" s="214" t="str">
        <f>IF($B267&lt;=$N$14,申込書!$F$16,"")</f>
        <v/>
      </c>
      <c r="F267" s="214" t="str">
        <f t="shared" si="36"/>
        <v/>
      </c>
      <c r="G267" s="214"/>
      <c r="H267" s="240" t="str">
        <f t="shared" ca="1" si="37"/>
        <v/>
      </c>
    </row>
    <row r="268" spans="1:8">
      <c r="A268" s="211">
        <f t="shared" si="38"/>
        <v>267</v>
      </c>
      <c r="B268" s="212">
        <f t="shared" si="39"/>
        <v>267</v>
      </c>
      <c r="C268" s="213" t="str">
        <f t="shared" si="34"/>
        <v/>
      </c>
      <c r="D268" s="134" t="str">
        <f t="shared" ca="1" si="35"/>
        <v/>
      </c>
      <c r="E268" s="214" t="str">
        <f>IF($B268&lt;=$N$14,申込書!$F$16,"")</f>
        <v/>
      </c>
      <c r="F268" s="214" t="str">
        <f t="shared" si="36"/>
        <v/>
      </c>
      <c r="G268" s="214"/>
      <c r="H268" s="240" t="str">
        <f t="shared" ca="1" si="37"/>
        <v/>
      </c>
    </row>
    <row r="269" spans="1:8">
      <c r="A269" s="211">
        <f t="shared" si="38"/>
        <v>268</v>
      </c>
      <c r="B269" s="212">
        <f t="shared" si="39"/>
        <v>268</v>
      </c>
      <c r="C269" s="213" t="str">
        <f t="shared" si="34"/>
        <v/>
      </c>
      <c r="D269" s="134" t="str">
        <f t="shared" ca="1" si="35"/>
        <v/>
      </c>
      <c r="E269" s="214" t="str">
        <f>IF($B269&lt;=$N$14,申込書!$F$16,"")</f>
        <v/>
      </c>
      <c r="F269" s="214" t="str">
        <f t="shared" si="36"/>
        <v/>
      </c>
      <c r="G269" s="214"/>
      <c r="H269" s="240" t="str">
        <f t="shared" ca="1" si="37"/>
        <v/>
      </c>
    </row>
    <row r="270" spans="1:8">
      <c r="A270" s="211">
        <f t="shared" si="38"/>
        <v>269</v>
      </c>
      <c r="B270" s="212">
        <f t="shared" si="39"/>
        <v>269</v>
      </c>
      <c r="C270" s="213" t="str">
        <f t="shared" si="34"/>
        <v/>
      </c>
      <c r="D270" s="134" t="str">
        <f t="shared" ca="1" si="35"/>
        <v/>
      </c>
      <c r="E270" s="214" t="str">
        <f>IF($B270&lt;=$N$14,申込書!$F$16,"")</f>
        <v/>
      </c>
      <c r="F270" s="214" t="str">
        <f t="shared" si="36"/>
        <v/>
      </c>
      <c r="G270" s="214"/>
      <c r="H270" s="240" t="str">
        <f t="shared" ca="1" si="37"/>
        <v/>
      </c>
    </row>
    <row r="271" spans="1:8">
      <c r="A271" s="211">
        <f t="shared" si="38"/>
        <v>270</v>
      </c>
      <c r="B271" s="212">
        <f t="shared" si="39"/>
        <v>270</v>
      </c>
      <c r="C271" s="213" t="str">
        <f t="shared" si="34"/>
        <v/>
      </c>
      <c r="D271" s="134" t="str">
        <f t="shared" ca="1" si="35"/>
        <v/>
      </c>
      <c r="E271" s="214" t="str">
        <f>IF($B271&lt;=$N$14,申込書!$F$16,"")</f>
        <v/>
      </c>
      <c r="F271" s="214" t="str">
        <f t="shared" si="36"/>
        <v/>
      </c>
      <c r="G271" s="214"/>
      <c r="H271" s="240" t="str">
        <f t="shared" ca="1" si="37"/>
        <v/>
      </c>
    </row>
    <row r="272" spans="1:8">
      <c r="A272" s="211">
        <f t="shared" si="38"/>
        <v>271</v>
      </c>
      <c r="B272" s="212">
        <f t="shared" si="39"/>
        <v>271</v>
      </c>
      <c r="C272" s="213" t="str">
        <f t="shared" si="34"/>
        <v/>
      </c>
      <c r="D272" s="134" t="str">
        <f t="shared" ca="1" si="35"/>
        <v/>
      </c>
      <c r="E272" s="214" t="str">
        <f>IF($B272&lt;=$N$14,申込書!$F$16,"")</f>
        <v/>
      </c>
      <c r="F272" s="214" t="str">
        <f t="shared" si="36"/>
        <v/>
      </c>
      <c r="G272" s="214"/>
      <c r="H272" s="240" t="str">
        <f t="shared" ca="1" si="37"/>
        <v/>
      </c>
    </row>
    <row r="273" spans="1:8">
      <c r="A273" s="211">
        <f t="shared" si="38"/>
        <v>272</v>
      </c>
      <c r="B273" s="212">
        <f t="shared" si="39"/>
        <v>272</v>
      </c>
      <c r="C273" s="213" t="str">
        <f t="shared" si="34"/>
        <v/>
      </c>
      <c r="D273" s="134" t="str">
        <f t="shared" ca="1" si="35"/>
        <v/>
      </c>
      <c r="E273" s="214" t="str">
        <f>IF($B273&lt;=$N$14,申込書!$F$16,"")</f>
        <v/>
      </c>
      <c r="F273" s="214" t="str">
        <f t="shared" si="36"/>
        <v/>
      </c>
      <c r="G273" s="214"/>
      <c r="H273" s="240" t="str">
        <f t="shared" ca="1" si="37"/>
        <v/>
      </c>
    </row>
    <row r="274" spans="1:8">
      <c r="A274" s="211">
        <f t="shared" si="38"/>
        <v>273</v>
      </c>
      <c r="B274" s="212">
        <f t="shared" si="39"/>
        <v>273</v>
      </c>
      <c r="C274" s="213" t="str">
        <f t="shared" si="34"/>
        <v/>
      </c>
      <c r="D274" s="134" t="str">
        <f t="shared" ca="1" si="35"/>
        <v/>
      </c>
      <c r="E274" s="214" t="str">
        <f>IF($B274&lt;=$N$14,申込書!$F$16,"")</f>
        <v/>
      </c>
      <c r="F274" s="214" t="str">
        <f t="shared" si="36"/>
        <v/>
      </c>
      <c r="G274" s="214"/>
      <c r="H274" s="240" t="str">
        <f t="shared" ca="1" si="37"/>
        <v/>
      </c>
    </row>
    <row r="275" spans="1:8">
      <c r="A275" s="211">
        <f t="shared" si="38"/>
        <v>274</v>
      </c>
      <c r="B275" s="212">
        <f t="shared" si="39"/>
        <v>274</v>
      </c>
      <c r="C275" s="213" t="str">
        <f t="shared" si="34"/>
        <v/>
      </c>
      <c r="D275" s="134" t="str">
        <f t="shared" ca="1" si="35"/>
        <v/>
      </c>
      <c r="E275" s="214" t="str">
        <f>IF($B275&lt;=$N$14,申込書!$F$16,"")</f>
        <v/>
      </c>
      <c r="F275" s="214" t="str">
        <f t="shared" si="36"/>
        <v/>
      </c>
      <c r="G275" s="214"/>
      <c r="H275" s="240" t="str">
        <f t="shared" ca="1" si="37"/>
        <v/>
      </c>
    </row>
    <row r="276" spans="1:8">
      <c r="A276" s="211">
        <f t="shared" si="38"/>
        <v>275</v>
      </c>
      <c r="B276" s="212">
        <f t="shared" si="39"/>
        <v>275</v>
      </c>
      <c r="C276" s="213" t="str">
        <f t="shared" si="34"/>
        <v/>
      </c>
      <c r="D276" s="134" t="str">
        <f t="shared" ca="1" si="35"/>
        <v/>
      </c>
      <c r="E276" s="214" t="str">
        <f>IF($B276&lt;=$N$14,申込書!$F$16,"")</f>
        <v/>
      </c>
      <c r="F276" s="214" t="str">
        <f t="shared" si="36"/>
        <v/>
      </c>
      <c r="G276" s="214"/>
      <c r="H276" s="240" t="str">
        <f t="shared" ca="1" si="37"/>
        <v/>
      </c>
    </row>
    <row r="277" spans="1:8">
      <c r="A277" s="211">
        <f t="shared" si="38"/>
        <v>276</v>
      </c>
      <c r="B277" s="212">
        <f t="shared" si="39"/>
        <v>276</v>
      </c>
      <c r="C277" s="213" t="str">
        <f t="shared" si="34"/>
        <v/>
      </c>
      <c r="D277" s="134" t="str">
        <f t="shared" ca="1" si="35"/>
        <v/>
      </c>
      <c r="E277" s="214" t="str">
        <f>IF($B277&lt;=$N$14,申込書!$F$16,"")</f>
        <v/>
      </c>
      <c r="F277" s="214" t="str">
        <f t="shared" si="36"/>
        <v/>
      </c>
      <c r="G277" s="214"/>
      <c r="H277" s="240" t="str">
        <f t="shared" ca="1" si="37"/>
        <v/>
      </c>
    </row>
    <row r="278" spans="1:8">
      <c r="A278" s="211">
        <f t="shared" si="38"/>
        <v>277</v>
      </c>
      <c r="B278" s="212">
        <f t="shared" si="39"/>
        <v>277</v>
      </c>
      <c r="C278" s="213" t="str">
        <f t="shared" si="34"/>
        <v/>
      </c>
      <c r="D278" s="134" t="str">
        <f t="shared" ca="1" si="35"/>
        <v/>
      </c>
      <c r="E278" s="214" t="str">
        <f>IF($B278&lt;=$N$14,申込書!$F$16,"")</f>
        <v/>
      </c>
      <c r="F278" s="214" t="str">
        <f t="shared" si="36"/>
        <v/>
      </c>
      <c r="G278" s="214"/>
      <c r="H278" s="240" t="str">
        <f t="shared" ca="1" si="37"/>
        <v/>
      </c>
    </row>
    <row r="279" spans="1:8">
      <c r="A279" s="211">
        <f t="shared" si="38"/>
        <v>278</v>
      </c>
      <c r="B279" s="212">
        <f t="shared" si="39"/>
        <v>278</v>
      </c>
      <c r="C279" s="213" t="str">
        <f t="shared" si="34"/>
        <v/>
      </c>
      <c r="D279" s="134" t="str">
        <f t="shared" ca="1" si="35"/>
        <v/>
      </c>
      <c r="E279" s="214" t="str">
        <f>IF($B279&lt;=$N$14,申込書!$F$16,"")</f>
        <v/>
      </c>
      <c r="F279" s="214" t="str">
        <f t="shared" si="36"/>
        <v/>
      </c>
      <c r="G279" s="214"/>
      <c r="H279" s="240" t="str">
        <f t="shared" ca="1" si="37"/>
        <v/>
      </c>
    </row>
    <row r="280" spans="1:8">
      <c r="A280" s="211">
        <f t="shared" si="38"/>
        <v>279</v>
      </c>
      <c r="B280" s="212">
        <f t="shared" si="39"/>
        <v>279</v>
      </c>
      <c r="C280" s="213" t="str">
        <f t="shared" si="34"/>
        <v/>
      </c>
      <c r="D280" s="134" t="str">
        <f t="shared" ca="1" si="35"/>
        <v/>
      </c>
      <c r="E280" s="214" t="str">
        <f>IF($B280&lt;=$N$14,申込書!$F$16,"")</f>
        <v/>
      </c>
      <c r="F280" s="214" t="str">
        <f t="shared" si="36"/>
        <v/>
      </c>
      <c r="G280" s="214"/>
      <c r="H280" s="240" t="str">
        <f t="shared" ca="1" si="37"/>
        <v/>
      </c>
    </row>
    <row r="281" spans="1:8">
      <c r="A281" s="211">
        <f t="shared" si="38"/>
        <v>280</v>
      </c>
      <c r="B281" s="212">
        <f t="shared" si="39"/>
        <v>280</v>
      </c>
      <c r="C281" s="213" t="str">
        <f t="shared" si="34"/>
        <v/>
      </c>
      <c r="D281" s="134" t="str">
        <f t="shared" ca="1" si="35"/>
        <v/>
      </c>
      <c r="E281" s="214" t="str">
        <f>IF($B281&lt;=$N$14,申込書!$F$16,"")</f>
        <v/>
      </c>
      <c r="F281" s="214" t="str">
        <f t="shared" si="36"/>
        <v/>
      </c>
      <c r="G281" s="214"/>
      <c r="H281" s="240" t="str">
        <f t="shared" ca="1" si="37"/>
        <v/>
      </c>
    </row>
    <row r="282" spans="1:8">
      <c r="A282" s="211">
        <f t="shared" si="38"/>
        <v>281</v>
      </c>
      <c r="B282" s="212">
        <f t="shared" si="39"/>
        <v>281</v>
      </c>
      <c r="C282" s="213" t="str">
        <f t="shared" si="34"/>
        <v/>
      </c>
      <c r="D282" s="134" t="str">
        <f t="shared" ca="1" si="35"/>
        <v/>
      </c>
      <c r="E282" s="214" t="str">
        <f>IF($B282&lt;=$N$14,申込書!$F$16,"")</f>
        <v/>
      </c>
      <c r="F282" s="214" t="str">
        <f t="shared" si="36"/>
        <v/>
      </c>
      <c r="G282" s="214"/>
      <c r="H282" s="240" t="str">
        <f t="shared" ca="1" si="37"/>
        <v/>
      </c>
    </row>
    <row r="283" spans="1:8">
      <c r="A283" s="211">
        <f t="shared" si="38"/>
        <v>282</v>
      </c>
      <c r="B283" s="212">
        <f t="shared" si="39"/>
        <v>282</v>
      </c>
      <c r="C283" s="213" t="str">
        <f t="shared" si="34"/>
        <v/>
      </c>
      <c r="D283" s="134" t="str">
        <f t="shared" ca="1" si="35"/>
        <v/>
      </c>
      <c r="E283" s="214" t="str">
        <f>IF($B283&lt;=$N$14,申込書!$F$16,"")</f>
        <v/>
      </c>
      <c r="F283" s="214" t="str">
        <f t="shared" si="36"/>
        <v/>
      </c>
      <c r="G283" s="214"/>
      <c r="H283" s="240" t="str">
        <f t="shared" ca="1" si="37"/>
        <v/>
      </c>
    </row>
    <row r="284" spans="1:8">
      <c r="A284" s="211">
        <f t="shared" si="38"/>
        <v>283</v>
      </c>
      <c r="B284" s="212">
        <f t="shared" si="39"/>
        <v>283</v>
      </c>
      <c r="C284" s="213" t="str">
        <f t="shared" si="34"/>
        <v/>
      </c>
      <c r="D284" s="134" t="str">
        <f t="shared" ca="1" si="35"/>
        <v/>
      </c>
      <c r="E284" s="214" t="str">
        <f>IF($B284&lt;=$N$14,申込書!$F$16,"")</f>
        <v/>
      </c>
      <c r="F284" s="214" t="str">
        <f t="shared" si="36"/>
        <v/>
      </c>
      <c r="G284" s="214"/>
      <c r="H284" s="240" t="str">
        <f t="shared" ca="1" si="37"/>
        <v/>
      </c>
    </row>
    <row r="285" spans="1:8">
      <c r="A285" s="211">
        <f t="shared" si="38"/>
        <v>284</v>
      </c>
      <c r="B285" s="212">
        <f t="shared" si="39"/>
        <v>284</v>
      </c>
      <c r="C285" s="213" t="str">
        <f t="shared" si="34"/>
        <v/>
      </c>
      <c r="D285" s="134" t="str">
        <f t="shared" ca="1" si="35"/>
        <v/>
      </c>
      <c r="E285" s="214" t="str">
        <f>IF($B285&lt;=$N$14,申込書!$F$16,"")</f>
        <v/>
      </c>
      <c r="F285" s="214" t="str">
        <f t="shared" si="36"/>
        <v/>
      </c>
      <c r="G285" s="214"/>
      <c r="H285" s="240" t="str">
        <f t="shared" ca="1" si="37"/>
        <v/>
      </c>
    </row>
    <row r="286" spans="1:8">
      <c r="A286" s="211">
        <f t="shared" si="38"/>
        <v>285</v>
      </c>
      <c r="B286" s="212">
        <f t="shared" si="39"/>
        <v>285</v>
      </c>
      <c r="C286" s="213" t="str">
        <f t="shared" si="34"/>
        <v/>
      </c>
      <c r="D286" s="134" t="str">
        <f t="shared" ca="1" si="35"/>
        <v/>
      </c>
      <c r="E286" s="214" t="str">
        <f>IF($B286&lt;=$N$14,申込書!$F$16,"")</f>
        <v/>
      </c>
      <c r="F286" s="214" t="str">
        <f t="shared" si="36"/>
        <v/>
      </c>
      <c r="G286" s="214"/>
      <c r="H286" s="240" t="str">
        <f t="shared" ca="1" si="37"/>
        <v/>
      </c>
    </row>
    <row r="287" spans="1:8">
      <c r="A287" s="211">
        <f t="shared" si="38"/>
        <v>286</v>
      </c>
      <c r="B287" s="212">
        <f t="shared" si="39"/>
        <v>286</v>
      </c>
      <c r="C287" s="213" t="str">
        <f t="shared" si="34"/>
        <v/>
      </c>
      <c r="D287" s="134" t="str">
        <f t="shared" ca="1" si="35"/>
        <v/>
      </c>
      <c r="E287" s="214" t="str">
        <f>IF($B287&lt;=$N$14,申込書!$F$16,"")</f>
        <v/>
      </c>
      <c r="F287" s="214" t="str">
        <f t="shared" si="36"/>
        <v/>
      </c>
      <c r="G287" s="214"/>
      <c r="H287" s="240" t="str">
        <f t="shared" ca="1" si="37"/>
        <v/>
      </c>
    </row>
    <row r="288" spans="1:8">
      <c r="A288" s="211">
        <f t="shared" si="38"/>
        <v>287</v>
      </c>
      <c r="B288" s="212">
        <f t="shared" si="39"/>
        <v>287</v>
      </c>
      <c r="C288" s="213" t="str">
        <f t="shared" si="34"/>
        <v/>
      </c>
      <c r="D288" s="134" t="str">
        <f t="shared" ca="1" si="35"/>
        <v/>
      </c>
      <c r="E288" s="214" t="str">
        <f>IF($B288&lt;=$N$14,申込書!$F$16,"")</f>
        <v/>
      </c>
      <c r="F288" s="214" t="str">
        <f t="shared" si="36"/>
        <v/>
      </c>
      <c r="G288" s="214"/>
      <c r="H288" s="240" t="str">
        <f t="shared" ca="1" si="37"/>
        <v/>
      </c>
    </row>
    <row r="289" spans="1:8">
      <c r="A289" s="211">
        <f t="shared" si="38"/>
        <v>288</v>
      </c>
      <c r="B289" s="212">
        <f t="shared" si="39"/>
        <v>288</v>
      </c>
      <c r="C289" s="213" t="str">
        <f t="shared" si="34"/>
        <v/>
      </c>
      <c r="D289" s="134" t="str">
        <f t="shared" ca="1" si="35"/>
        <v/>
      </c>
      <c r="E289" s="214" t="str">
        <f>IF($B289&lt;=$N$14,申込書!$F$16,"")</f>
        <v/>
      </c>
      <c r="F289" s="214" t="str">
        <f t="shared" si="36"/>
        <v/>
      </c>
      <c r="G289" s="214"/>
      <c r="H289" s="240" t="str">
        <f t="shared" ca="1" si="37"/>
        <v/>
      </c>
    </row>
    <row r="290" spans="1:8">
      <c r="A290" s="211">
        <f t="shared" si="38"/>
        <v>289</v>
      </c>
      <c r="B290" s="212">
        <f t="shared" si="39"/>
        <v>289</v>
      </c>
      <c r="C290" s="213" t="str">
        <f t="shared" si="34"/>
        <v/>
      </c>
      <c r="D290" s="134" t="str">
        <f t="shared" ca="1" si="35"/>
        <v/>
      </c>
      <c r="E290" s="214" t="str">
        <f>IF($B290&lt;=$N$14,申込書!$F$16,"")</f>
        <v/>
      </c>
      <c r="F290" s="214" t="str">
        <f t="shared" si="36"/>
        <v/>
      </c>
      <c r="G290" s="214"/>
      <c r="H290" s="240" t="str">
        <f t="shared" ca="1" si="37"/>
        <v/>
      </c>
    </row>
    <row r="291" spans="1:8">
      <c r="A291" s="211">
        <f t="shared" si="38"/>
        <v>290</v>
      </c>
      <c r="B291" s="212">
        <f t="shared" si="39"/>
        <v>290</v>
      </c>
      <c r="C291" s="213" t="str">
        <f t="shared" si="34"/>
        <v/>
      </c>
      <c r="D291" s="134" t="str">
        <f t="shared" ca="1" si="35"/>
        <v/>
      </c>
      <c r="E291" s="214" t="str">
        <f>IF($B291&lt;=$N$14,申込書!$F$16,"")</f>
        <v/>
      </c>
      <c r="F291" s="214" t="str">
        <f t="shared" si="36"/>
        <v/>
      </c>
      <c r="G291" s="214"/>
      <c r="H291" s="240" t="str">
        <f t="shared" ca="1" si="37"/>
        <v/>
      </c>
    </row>
    <row r="292" spans="1:8">
      <c r="A292" s="211">
        <f t="shared" si="38"/>
        <v>291</v>
      </c>
      <c r="B292" s="212">
        <f t="shared" si="39"/>
        <v>291</v>
      </c>
      <c r="C292" s="213" t="str">
        <f t="shared" si="34"/>
        <v/>
      </c>
      <c r="D292" s="134" t="str">
        <f t="shared" ca="1" si="35"/>
        <v/>
      </c>
      <c r="E292" s="214" t="str">
        <f>IF($B292&lt;=$N$14,申込書!$F$16,"")</f>
        <v/>
      </c>
      <c r="F292" s="214" t="str">
        <f t="shared" si="36"/>
        <v/>
      </c>
      <c r="G292" s="214"/>
      <c r="H292" s="240" t="str">
        <f t="shared" ca="1" si="37"/>
        <v/>
      </c>
    </row>
    <row r="293" spans="1:8">
      <c r="A293" s="211">
        <f t="shared" si="38"/>
        <v>292</v>
      </c>
      <c r="B293" s="212">
        <f t="shared" si="39"/>
        <v>292</v>
      </c>
      <c r="C293" s="213" t="str">
        <f t="shared" si="34"/>
        <v/>
      </c>
      <c r="D293" s="134" t="str">
        <f t="shared" ca="1" si="35"/>
        <v/>
      </c>
      <c r="E293" s="214" t="str">
        <f>IF($B293&lt;=$N$14,申込書!$F$16,"")</f>
        <v/>
      </c>
      <c r="F293" s="214" t="str">
        <f t="shared" si="36"/>
        <v/>
      </c>
      <c r="G293" s="214"/>
      <c r="H293" s="240" t="str">
        <f t="shared" ca="1" si="37"/>
        <v/>
      </c>
    </row>
    <row r="294" spans="1:8">
      <c r="A294" s="211">
        <f t="shared" si="38"/>
        <v>293</v>
      </c>
      <c r="B294" s="212">
        <f t="shared" si="39"/>
        <v>293</v>
      </c>
      <c r="C294" s="213" t="str">
        <f t="shared" si="34"/>
        <v/>
      </c>
      <c r="D294" s="134" t="str">
        <f t="shared" ca="1" si="35"/>
        <v/>
      </c>
      <c r="E294" s="214" t="str">
        <f>IF($B294&lt;=$N$14,申込書!$F$16,"")</f>
        <v/>
      </c>
      <c r="F294" s="214" t="str">
        <f t="shared" si="36"/>
        <v/>
      </c>
      <c r="G294" s="214"/>
      <c r="H294" s="240" t="str">
        <f t="shared" ca="1" si="37"/>
        <v/>
      </c>
    </row>
    <row r="295" spans="1:8">
      <c r="A295" s="211">
        <f t="shared" si="38"/>
        <v>294</v>
      </c>
      <c r="B295" s="212">
        <f t="shared" si="39"/>
        <v>294</v>
      </c>
      <c r="C295" s="213" t="str">
        <f t="shared" si="34"/>
        <v/>
      </c>
      <c r="D295" s="134" t="str">
        <f t="shared" ca="1" si="35"/>
        <v/>
      </c>
      <c r="E295" s="214" t="str">
        <f>IF($B295&lt;=$N$14,申込書!$F$16,"")</f>
        <v/>
      </c>
      <c r="F295" s="214" t="str">
        <f t="shared" si="36"/>
        <v/>
      </c>
      <c r="G295" s="214"/>
      <c r="H295" s="240" t="str">
        <f t="shared" ca="1" si="37"/>
        <v/>
      </c>
    </row>
    <row r="296" spans="1:8">
      <c r="A296" s="211">
        <f t="shared" si="38"/>
        <v>295</v>
      </c>
      <c r="B296" s="212">
        <f t="shared" si="39"/>
        <v>295</v>
      </c>
      <c r="C296" s="213" t="str">
        <f t="shared" si="34"/>
        <v/>
      </c>
      <c r="D296" s="134" t="str">
        <f t="shared" ca="1" si="35"/>
        <v/>
      </c>
      <c r="E296" s="214" t="str">
        <f>IF($B296&lt;=$N$14,申込書!$F$16,"")</f>
        <v/>
      </c>
      <c r="F296" s="214" t="str">
        <f t="shared" si="36"/>
        <v/>
      </c>
      <c r="G296" s="214"/>
      <c r="H296" s="240" t="str">
        <f t="shared" ca="1" si="37"/>
        <v/>
      </c>
    </row>
    <row r="297" spans="1:8">
      <c r="A297" s="211">
        <f t="shared" si="38"/>
        <v>296</v>
      </c>
      <c r="B297" s="212">
        <f t="shared" si="39"/>
        <v>296</v>
      </c>
      <c r="C297" s="213" t="str">
        <f t="shared" si="34"/>
        <v/>
      </c>
      <c r="D297" s="134" t="str">
        <f t="shared" ca="1" si="35"/>
        <v/>
      </c>
      <c r="E297" s="214" t="str">
        <f>IF($B297&lt;=$N$14,申込書!$F$16,"")</f>
        <v/>
      </c>
      <c r="F297" s="214" t="str">
        <f t="shared" si="36"/>
        <v/>
      </c>
      <c r="G297" s="214"/>
      <c r="H297" s="240" t="str">
        <f t="shared" ca="1" si="37"/>
        <v/>
      </c>
    </row>
    <row r="298" spans="1:8">
      <c r="A298" s="211">
        <f t="shared" si="38"/>
        <v>297</v>
      </c>
      <c r="B298" s="212">
        <f t="shared" si="39"/>
        <v>297</v>
      </c>
      <c r="C298" s="213" t="str">
        <f t="shared" si="34"/>
        <v/>
      </c>
      <c r="D298" s="134" t="str">
        <f t="shared" ca="1" si="35"/>
        <v/>
      </c>
      <c r="E298" s="214" t="str">
        <f>IF($B298&lt;=$N$14,申込書!$F$16,"")</f>
        <v/>
      </c>
      <c r="F298" s="214" t="str">
        <f t="shared" si="36"/>
        <v/>
      </c>
      <c r="G298" s="214"/>
      <c r="H298" s="240" t="str">
        <f t="shared" ca="1" si="37"/>
        <v/>
      </c>
    </row>
    <row r="299" spans="1:8">
      <c r="A299" s="211">
        <f t="shared" si="38"/>
        <v>298</v>
      </c>
      <c r="B299" s="212">
        <f t="shared" si="39"/>
        <v>298</v>
      </c>
      <c r="C299" s="213" t="str">
        <f t="shared" si="34"/>
        <v/>
      </c>
      <c r="D299" s="134" t="str">
        <f t="shared" ca="1" si="35"/>
        <v/>
      </c>
      <c r="E299" s="214" t="str">
        <f>IF($B299&lt;=$N$14,申込書!$F$16,"")</f>
        <v/>
      </c>
      <c r="F299" s="214" t="str">
        <f t="shared" si="36"/>
        <v/>
      </c>
      <c r="G299" s="214"/>
      <c r="H299" s="240" t="str">
        <f t="shared" ca="1" si="37"/>
        <v/>
      </c>
    </row>
    <row r="300" spans="1:8">
      <c r="A300" s="211">
        <f t="shared" si="38"/>
        <v>299</v>
      </c>
      <c r="B300" s="212">
        <f t="shared" si="39"/>
        <v>299</v>
      </c>
      <c r="C300" s="213" t="str">
        <f t="shared" si="34"/>
        <v/>
      </c>
      <c r="D300" s="134" t="str">
        <f t="shared" ca="1" si="35"/>
        <v/>
      </c>
      <c r="E300" s="214" t="str">
        <f>IF($B300&lt;=$N$14,申込書!$F$16,"")</f>
        <v/>
      </c>
      <c r="F300" s="214" t="str">
        <f t="shared" si="36"/>
        <v/>
      </c>
      <c r="G300" s="214"/>
      <c r="H300" s="240" t="str">
        <f t="shared" ca="1" si="37"/>
        <v/>
      </c>
    </row>
    <row r="301" spans="1:8">
      <c r="A301" s="211">
        <f t="shared" si="38"/>
        <v>300</v>
      </c>
      <c r="B301" s="212">
        <f t="shared" si="39"/>
        <v>300</v>
      </c>
      <c r="C301" s="213" t="str">
        <f t="shared" si="34"/>
        <v/>
      </c>
      <c r="D301" s="134" t="str">
        <f t="shared" ca="1" si="35"/>
        <v/>
      </c>
      <c r="E301" s="214" t="str">
        <f>IF($B301&lt;=$N$14,申込書!$F$16,"")</f>
        <v/>
      </c>
      <c r="F301" s="214" t="str">
        <f t="shared" si="36"/>
        <v/>
      </c>
      <c r="G301" s="214"/>
      <c r="H301" s="240" t="str">
        <f t="shared" ca="1" si="37"/>
        <v/>
      </c>
    </row>
    <row r="302" spans="1:8">
      <c r="A302" s="211">
        <f t="shared" si="38"/>
        <v>301</v>
      </c>
      <c r="B302" s="212">
        <f t="shared" si="39"/>
        <v>301</v>
      </c>
      <c r="C302" s="213" t="str">
        <f t="shared" si="34"/>
        <v/>
      </c>
      <c r="D302" s="134" t="str">
        <f t="shared" ca="1" si="35"/>
        <v/>
      </c>
      <c r="E302" s="214" t="str">
        <f>IF($B302&lt;=$N$14,申込書!$F$16,"")</f>
        <v/>
      </c>
      <c r="F302" s="214" t="str">
        <f t="shared" si="36"/>
        <v/>
      </c>
      <c r="G302" s="214"/>
      <c r="H302" s="240" t="str">
        <f t="shared" ca="1" si="37"/>
        <v/>
      </c>
    </row>
    <row r="303" spans="1:8">
      <c r="A303" s="211">
        <f t="shared" si="38"/>
        <v>302</v>
      </c>
      <c r="B303" s="212">
        <f t="shared" si="39"/>
        <v>302</v>
      </c>
      <c r="C303" s="213" t="str">
        <f t="shared" si="34"/>
        <v/>
      </c>
      <c r="D303" s="134" t="str">
        <f t="shared" ca="1" si="35"/>
        <v/>
      </c>
      <c r="E303" s="214" t="str">
        <f>IF($B303&lt;=$N$14,申込書!$F$16,"")</f>
        <v/>
      </c>
      <c r="F303" s="214" t="str">
        <f t="shared" si="36"/>
        <v/>
      </c>
      <c r="G303" s="214"/>
      <c r="H303" s="240" t="str">
        <f t="shared" ca="1" si="37"/>
        <v/>
      </c>
    </row>
    <row r="304" spans="1:8">
      <c r="A304" s="211">
        <f t="shared" si="38"/>
        <v>303</v>
      </c>
      <c r="B304" s="212">
        <f t="shared" si="39"/>
        <v>303</v>
      </c>
      <c r="C304" s="213" t="str">
        <f t="shared" si="34"/>
        <v/>
      </c>
      <c r="D304" s="134" t="str">
        <f t="shared" ca="1" si="35"/>
        <v/>
      </c>
      <c r="E304" s="214" t="str">
        <f>IF($B304&lt;=$N$14,申込書!$F$16,"")</f>
        <v/>
      </c>
      <c r="F304" s="214" t="str">
        <f t="shared" si="36"/>
        <v/>
      </c>
      <c r="G304" s="214"/>
      <c r="H304" s="240" t="str">
        <f t="shared" ca="1" si="37"/>
        <v/>
      </c>
    </row>
    <row r="305" spans="1:8">
      <c r="A305" s="211">
        <f t="shared" si="38"/>
        <v>304</v>
      </c>
      <c r="B305" s="212">
        <f t="shared" si="39"/>
        <v>304</v>
      </c>
      <c r="C305" s="213" t="str">
        <f t="shared" si="34"/>
        <v/>
      </c>
      <c r="D305" s="134" t="str">
        <f t="shared" ca="1" si="35"/>
        <v/>
      </c>
      <c r="E305" s="214" t="str">
        <f>IF($B305&lt;=$N$14,申込書!$F$16,"")</f>
        <v/>
      </c>
      <c r="F305" s="214" t="str">
        <f t="shared" si="36"/>
        <v/>
      </c>
      <c r="G305" s="214"/>
      <c r="H305" s="240" t="str">
        <f t="shared" ca="1" si="37"/>
        <v/>
      </c>
    </row>
    <row r="306" spans="1:8">
      <c r="A306" s="211">
        <f t="shared" si="38"/>
        <v>305</v>
      </c>
      <c r="B306" s="212">
        <f t="shared" si="39"/>
        <v>305</v>
      </c>
      <c r="C306" s="213" t="str">
        <f t="shared" si="34"/>
        <v/>
      </c>
      <c r="D306" s="134" t="str">
        <f t="shared" ca="1" si="35"/>
        <v/>
      </c>
      <c r="E306" s="214" t="str">
        <f>IF($B306&lt;=$N$14,申込書!$F$16,"")</f>
        <v/>
      </c>
      <c r="F306" s="214" t="str">
        <f t="shared" si="36"/>
        <v/>
      </c>
      <c r="G306" s="214"/>
      <c r="H306" s="240" t="str">
        <f t="shared" ca="1" si="37"/>
        <v/>
      </c>
    </row>
    <row r="307" spans="1:8">
      <c r="A307" s="211">
        <f t="shared" si="38"/>
        <v>306</v>
      </c>
      <c r="B307" s="212">
        <f t="shared" si="39"/>
        <v>306</v>
      </c>
      <c r="C307" s="213" t="str">
        <f t="shared" si="34"/>
        <v/>
      </c>
      <c r="D307" s="134" t="str">
        <f t="shared" ca="1" si="35"/>
        <v/>
      </c>
      <c r="E307" s="214" t="str">
        <f>IF($B307&lt;=$N$14,申込書!$F$16,"")</f>
        <v/>
      </c>
      <c r="F307" s="214" t="str">
        <f t="shared" si="36"/>
        <v/>
      </c>
      <c r="G307" s="214"/>
      <c r="H307" s="240" t="str">
        <f t="shared" ca="1" si="37"/>
        <v/>
      </c>
    </row>
    <row r="308" spans="1:8">
      <c r="A308" s="211">
        <f t="shared" si="38"/>
        <v>307</v>
      </c>
      <c r="B308" s="212">
        <f t="shared" si="39"/>
        <v>307</v>
      </c>
      <c r="C308" s="213" t="str">
        <f t="shared" si="34"/>
        <v/>
      </c>
      <c r="D308" s="134" t="str">
        <f t="shared" ca="1" si="35"/>
        <v/>
      </c>
      <c r="E308" s="214" t="str">
        <f>IF($B308&lt;=$N$14,申込書!$F$16,"")</f>
        <v/>
      </c>
      <c r="F308" s="214" t="str">
        <f t="shared" si="36"/>
        <v/>
      </c>
      <c r="G308" s="214"/>
      <c r="H308" s="240" t="str">
        <f t="shared" ca="1" si="37"/>
        <v/>
      </c>
    </row>
    <row r="309" spans="1:8">
      <c r="A309" s="211">
        <f t="shared" si="38"/>
        <v>308</v>
      </c>
      <c r="B309" s="212">
        <f t="shared" si="39"/>
        <v>308</v>
      </c>
      <c r="C309" s="213" t="str">
        <f t="shared" si="34"/>
        <v/>
      </c>
      <c r="D309" s="134" t="str">
        <f t="shared" ca="1" si="35"/>
        <v/>
      </c>
      <c r="E309" s="214" t="str">
        <f>IF($B309&lt;=$N$14,申込書!$F$16,"")</f>
        <v/>
      </c>
      <c r="F309" s="214" t="str">
        <f t="shared" si="36"/>
        <v/>
      </c>
      <c r="G309" s="214"/>
      <c r="H309" s="240" t="str">
        <f t="shared" ca="1" si="37"/>
        <v/>
      </c>
    </row>
    <row r="310" spans="1:8">
      <c r="A310" s="211">
        <f t="shared" si="38"/>
        <v>309</v>
      </c>
      <c r="B310" s="212">
        <f t="shared" si="39"/>
        <v>309</v>
      </c>
      <c r="C310" s="213" t="str">
        <f t="shared" si="34"/>
        <v/>
      </c>
      <c r="D310" s="134" t="str">
        <f t="shared" ca="1" si="35"/>
        <v/>
      </c>
      <c r="E310" s="214" t="str">
        <f>IF($B310&lt;=$N$14,申込書!$F$16,"")</f>
        <v/>
      </c>
      <c r="F310" s="214" t="str">
        <f t="shared" si="36"/>
        <v/>
      </c>
      <c r="G310" s="214"/>
      <c r="H310" s="240" t="str">
        <f t="shared" ca="1" si="37"/>
        <v/>
      </c>
    </row>
    <row r="311" spans="1:8">
      <c r="A311" s="211">
        <f t="shared" si="38"/>
        <v>310</v>
      </c>
      <c r="B311" s="212">
        <f t="shared" si="39"/>
        <v>310</v>
      </c>
      <c r="C311" s="213" t="str">
        <f t="shared" si="34"/>
        <v/>
      </c>
      <c r="D311" s="134" t="str">
        <f t="shared" ca="1" si="35"/>
        <v/>
      </c>
      <c r="E311" s="214" t="str">
        <f>IF($B311&lt;=$N$14,申込書!$F$16,"")</f>
        <v/>
      </c>
      <c r="F311" s="214" t="str">
        <f t="shared" si="36"/>
        <v/>
      </c>
      <c r="G311" s="214"/>
      <c r="H311" s="240" t="str">
        <f t="shared" ca="1" si="37"/>
        <v/>
      </c>
    </row>
    <row r="312" spans="1:8">
      <c r="A312" s="211">
        <f t="shared" si="38"/>
        <v>311</v>
      </c>
      <c r="B312" s="212">
        <f t="shared" si="39"/>
        <v>311</v>
      </c>
      <c r="C312" s="213" t="str">
        <f t="shared" si="34"/>
        <v/>
      </c>
      <c r="D312" s="134" t="str">
        <f t="shared" ca="1" si="35"/>
        <v/>
      </c>
      <c r="E312" s="214" t="str">
        <f>IF($B312&lt;=$N$14,申込書!$F$16,"")</f>
        <v/>
      </c>
      <c r="F312" s="214" t="str">
        <f t="shared" si="36"/>
        <v/>
      </c>
      <c r="G312" s="214"/>
      <c r="H312" s="240" t="str">
        <f t="shared" ca="1" si="37"/>
        <v/>
      </c>
    </row>
    <row r="313" spans="1:8">
      <c r="A313" s="211">
        <f t="shared" si="38"/>
        <v>312</v>
      </c>
      <c r="B313" s="212">
        <f t="shared" si="39"/>
        <v>312</v>
      </c>
      <c r="C313" s="213" t="str">
        <f t="shared" si="34"/>
        <v/>
      </c>
      <c r="D313" s="134" t="str">
        <f t="shared" ca="1" si="35"/>
        <v/>
      </c>
      <c r="E313" s="214" t="str">
        <f>IF($B313&lt;=$N$14,申込書!$F$16,"")</f>
        <v/>
      </c>
      <c r="F313" s="214" t="str">
        <f t="shared" si="36"/>
        <v/>
      </c>
      <c r="G313" s="214"/>
      <c r="H313" s="240" t="str">
        <f t="shared" ca="1" si="37"/>
        <v/>
      </c>
    </row>
    <row r="314" spans="1:8">
      <c r="A314" s="211">
        <f t="shared" si="38"/>
        <v>313</v>
      </c>
      <c r="B314" s="212">
        <f t="shared" si="39"/>
        <v>313</v>
      </c>
      <c r="C314" s="213" t="str">
        <f t="shared" si="34"/>
        <v/>
      </c>
      <c r="D314" s="134" t="str">
        <f t="shared" ca="1" si="35"/>
        <v/>
      </c>
      <c r="E314" s="214" t="str">
        <f>IF($B314&lt;=$N$14,申込書!$F$16,"")</f>
        <v/>
      </c>
      <c r="F314" s="214" t="str">
        <f t="shared" si="36"/>
        <v/>
      </c>
      <c r="G314" s="214"/>
      <c r="H314" s="240" t="str">
        <f t="shared" ca="1" si="37"/>
        <v/>
      </c>
    </row>
    <row r="315" spans="1:8">
      <c r="A315" s="211">
        <f t="shared" si="38"/>
        <v>314</v>
      </c>
      <c r="B315" s="212">
        <f t="shared" si="39"/>
        <v>314</v>
      </c>
      <c r="C315" s="213" t="str">
        <f t="shared" si="34"/>
        <v/>
      </c>
      <c r="D315" s="134" t="str">
        <f t="shared" ca="1" si="35"/>
        <v/>
      </c>
      <c r="E315" s="214" t="str">
        <f>IF($B315&lt;=$N$14,申込書!$F$16,"")</f>
        <v/>
      </c>
      <c r="F315" s="214" t="str">
        <f t="shared" si="36"/>
        <v/>
      </c>
      <c r="G315" s="214"/>
      <c r="H315" s="240" t="str">
        <f t="shared" ca="1" si="37"/>
        <v/>
      </c>
    </row>
    <row r="316" spans="1:8">
      <c r="A316" s="211">
        <f t="shared" si="38"/>
        <v>315</v>
      </c>
      <c r="B316" s="212">
        <f t="shared" si="39"/>
        <v>315</v>
      </c>
      <c r="C316" s="213" t="str">
        <f t="shared" si="34"/>
        <v/>
      </c>
      <c r="D316" s="134" t="str">
        <f t="shared" ca="1" si="35"/>
        <v/>
      </c>
      <c r="E316" s="214" t="str">
        <f>IF($B316&lt;=$N$14,申込書!$F$16,"")</f>
        <v/>
      </c>
      <c r="F316" s="214" t="str">
        <f t="shared" si="36"/>
        <v/>
      </c>
      <c r="G316" s="214"/>
      <c r="H316" s="240" t="str">
        <f t="shared" ca="1" si="37"/>
        <v/>
      </c>
    </row>
    <row r="317" spans="1:8">
      <c r="A317" s="211">
        <f t="shared" si="38"/>
        <v>316</v>
      </c>
      <c r="B317" s="212">
        <f t="shared" si="39"/>
        <v>316</v>
      </c>
      <c r="C317" s="213" t="str">
        <f t="shared" si="34"/>
        <v/>
      </c>
      <c r="D317" s="134" t="str">
        <f t="shared" ca="1" si="35"/>
        <v/>
      </c>
      <c r="E317" s="214" t="str">
        <f>IF($B317&lt;=$N$14,申込書!$F$16,"")</f>
        <v/>
      </c>
      <c r="F317" s="214" t="str">
        <f t="shared" si="36"/>
        <v/>
      </c>
      <c r="G317" s="214"/>
      <c r="H317" s="240" t="str">
        <f t="shared" ca="1" si="37"/>
        <v/>
      </c>
    </row>
    <row r="318" spans="1:8">
      <c r="A318" s="211">
        <f t="shared" si="38"/>
        <v>317</v>
      </c>
      <c r="B318" s="212">
        <f t="shared" si="39"/>
        <v>317</v>
      </c>
      <c r="C318" s="213" t="str">
        <f t="shared" si="34"/>
        <v/>
      </c>
      <c r="D318" s="134" t="str">
        <f t="shared" ca="1" si="35"/>
        <v/>
      </c>
      <c r="E318" s="214" t="str">
        <f>IF($B318&lt;=$N$14,申込書!$F$16,"")</f>
        <v/>
      </c>
      <c r="F318" s="214" t="str">
        <f t="shared" si="36"/>
        <v/>
      </c>
      <c r="G318" s="214"/>
      <c r="H318" s="240" t="str">
        <f t="shared" ca="1" si="37"/>
        <v/>
      </c>
    </row>
    <row r="319" spans="1:8">
      <c r="A319" s="211">
        <f t="shared" si="38"/>
        <v>318</v>
      </c>
      <c r="B319" s="212">
        <f t="shared" si="39"/>
        <v>318</v>
      </c>
      <c r="C319" s="213" t="str">
        <f t="shared" si="34"/>
        <v/>
      </c>
      <c r="D319" s="134" t="str">
        <f t="shared" ca="1" si="35"/>
        <v/>
      </c>
      <c r="E319" s="214" t="str">
        <f>IF($B319&lt;=$N$14,申込書!$F$16,"")</f>
        <v/>
      </c>
      <c r="F319" s="214" t="str">
        <f t="shared" si="36"/>
        <v/>
      </c>
      <c r="G319" s="214"/>
      <c r="H319" s="240" t="str">
        <f t="shared" ca="1" si="37"/>
        <v/>
      </c>
    </row>
    <row r="320" spans="1:8">
      <c r="A320" s="211">
        <f t="shared" si="38"/>
        <v>319</v>
      </c>
      <c r="B320" s="212">
        <f t="shared" si="39"/>
        <v>319</v>
      </c>
      <c r="C320" s="213" t="str">
        <f t="shared" si="34"/>
        <v/>
      </c>
      <c r="D320" s="134" t="str">
        <f t="shared" ca="1" si="35"/>
        <v/>
      </c>
      <c r="E320" s="214" t="str">
        <f>IF($B320&lt;=$N$14,申込書!$F$16,"")</f>
        <v/>
      </c>
      <c r="F320" s="214" t="str">
        <f t="shared" si="36"/>
        <v/>
      </c>
      <c r="G320" s="214"/>
      <c r="H320" s="240" t="str">
        <f t="shared" ca="1" si="37"/>
        <v/>
      </c>
    </row>
    <row r="321" spans="1:8">
      <c r="A321" s="211">
        <f t="shared" si="38"/>
        <v>320</v>
      </c>
      <c r="B321" s="212">
        <f t="shared" si="39"/>
        <v>320</v>
      </c>
      <c r="C321" s="213" t="str">
        <f t="shared" si="34"/>
        <v/>
      </c>
      <c r="D321" s="134" t="str">
        <f t="shared" ca="1" si="35"/>
        <v/>
      </c>
      <c r="E321" s="214" t="str">
        <f>IF($B321&lt;=$N$14,申込書!$F$16,"")</f>
        <v/>
      </c>
      <c r="F321" s="214" t="str">
        <f t="shared" si="36"/>
        <v/>
      </c>
      <c r="G321" s="214"/>
      <c r="H321" s="240" t="str">
        <f t="shared" ca="1" si="37"/>
        <v/>
      </c>
    </row>
    <row r="322" spans="1:8">
      <c r="A322" s="211">
        <f t="shared" si="38"/>
        <v>321</v>
      </c>
      <c r="B322" s="212">
        <f t="shared" si="39"/>
        <v>321</v>
      </c>
      <c r="C322" s="213" t="str">
        <f t="shared" ref="C322:C361" si="40">IF($B322&lt;=$N$14,VLOOKUP($B322,申込,2,TRUE),"")</f>
        <v/>
      </c>
      <c r="D322" s="134" t="str">
        <f t="shared" ref="D322:D361" ca="1" si="41">IFERROR(OFFSET($L$17,VALUE(MID(OFFSET($L$17,31,MATCH($C322,$M$17:$X$17,0)),A322*2-1,2)),0),"")</f>
        <v/>
      </c>
      <c r="E322" s="214" t="str">
        <f>IF($B322&lt;=$N$14,申込書!$F$16,"")</f>
        <v/>
      </c>
      <c r="F322" s="214" t="str">
        <f t="shared" ref="F322:F361" si="42">IF($B322&lt;=$N$14,EDATE(E322,VLOOKUP($B322,申込,3,TRUE))-1,"")</f>
        <v/>
      </c>
      <c r="G322" s="214"/>
      <c r="H322" s="240" t="str">
        <f t="shared" ref="H322:H361" ca="1" si="43">IF(D322&lt;&gt;"",(VLOOKUP(D322,user,2,FALSE)="error")*1,"")</f>
        <v/>
      </c>
    </row>
    <row r="323" spans="1:8">
      <c r="A323" s="211">
        <f t="shared" ref="A323:A361" si="44">IF(C323&lt;&gt;C322,1,A322+1)</f>
        <v>322</v>
      </c>
      <c r="B323" s="212">
        <f t="shared" si="39"/>
        <v>322</v>
      </c>
      <c r="C323" s="213" t="str">
        <f t="shared" si="40"/>
        <v/>
      </c>
      <c r="D323" s="134" t="str">
        <f t="shared" ca="1" si="41"/>
        <v/>
      </c>
      <c r="E323" s="214" t="str">
        <f>IF($B323&lt;=$N$14,申込書!$F$16,"")</f>
        <v/>
      </c>
      <c r="F323" s="214" t="str">
        <f t="shared" si="42"/>
        <v/>
      </c>
      <c r="G323" s="214"/>
      <c r="H323" s="240" t="str">
        <f t="shared" ca="1" si="43"/>
        <v/>
      </c>
    </row>
    <row r="324" spans="1:8">
      <c r="A324" s="211">
        <f t="shared" si="44"/>
        <v>323</v>
      </c>
      <c r="B324" s="212">
        <f t="shared" ref="B324:B361" si="45">B323+1</f>
        <v>323</v>
      </c>
      <c r="C324" s="213" t="str">
        <f t="shared" si="40"/>
        <v/>
      </c>
      <c r="D324" s="134" t="str">
        <f t="shared" ca="1" si="41"/>
        <v/>
      </c>
      <c r="E324" s="214" t="str">
        <f>IF($B324&lt;=$N$14,申込書!$F$16,"")</f>
        <v/>
      </c>
      <c r="F324" s="214" t="str">
        <f t="shared" si="42"/>
        <v/>
      </c>
      <c r="G324" s="214"/>
      <c r="H324" s="240" t="str">
        <f t="shared" ca="1" si="43"/>
        <v/>
      </c>
    </row>
    <row r="325" spans="1:8">
      <c r="A325" s="211">
        <f t="shared" si="44"/>
        <v>324</v>
      </c>
      <c r="B325" s="212">
        <f t="shared" si="45"/>
        <v>324</v>
      </c>
      <c r="C325" s="213" t="str">
        <f t="shared" si="40"/>
        <v/>
      </c>
      <c r="D325" s="134" t="str">
        <f t="shared" ca="1" si="41"/>
        <v/>
      </c>
      <c r="E325" s="214" t="str">
        <f>IF($B325&lt;=$N$14,申込書!$F$16,"")</f>
        <v/>
      </c>
      <c r="F325" s="214" t="str">
        <f t="shared" si="42"/>
        <v/>
      </c>
      <c r="G325" s="214"/>
      <c r="H325" s="240" t="str">
        <f t="shared" ca="1" si="43"/>
        <v/>
      </c>
    </row>
    <row r="326" spans="1:8">
      <c r="A326" s="211">
        <f t="shared" si="44"/>
        <v>325</v>
      </c>
      <c r="B326" s="212">
        <f t="shared" si="45"/>
        <v>325</v>
      </c>
      <c r="C326" s="213" t="str">
        <f t="shared" si="40"/>
        <v/>
      </c>
      <c r="D326" s="134" t="str">
        <f t="shared" ca="1" si="41"/>
        <v/>
      </c>
      <c r="E326" s="214" t="str">
        <f>IF($B326&lt;=$N$14,申込書!$F$16,"")</f>
        <v/>
      </c>
      <c r="F326" s="214" t="str">
        <f t="shared" si="42"/>
        <v/>
      </c>
      <c r="G326" s="214"/>
      <c r="H326" s="240" t="str">
        <f t="shared" ca="1" si="43"/>
        <v/>
      </c>
    </row>
    <row r="327" spans="1:8">
      <c r="A327" s="211">
        <f t="shared" si="44"/>
        <v>326</v>
      </c>
      <c r="B327" s="212">
        <f t="shared" si="45"/>
        <v>326</v>
      </c>
      <c r="C327" s="213" t="str">
        <f t="shared" si="40"/>
        <v/>
      </c>
      <c r="D327" s="134" t="str">
        <f t="shared" ca="1" si="41"/>
        <v/>
      </c>
      <c r="E327" s="214" t="str">
        <f>IF($B327&lt;=$N$14,申込書!$F$16,"")</f>
        <v/>
      </c>
      <c r="F327" s="214" t="str">
        <f t="shared" si="42"/>
        <v/>
      </c>
      <c r="G327" s="214"/>
      <c r="H327" s="240" t="str">
        <f t="shared" ca="1" si="43"/>
        <v/>
      </c>
    </row>
    <row r="328" spans="1:8">
      <c r="A328" s="211">
        <f t="shared" si="44"/>
        <v>327</v>
      </c>
      <c r="B328" s="212">
        <f t="shared" si="45"/>
        <v>327</v>
      </c>
      <c r="C328" s="213" t="str">
        <f t="shared" si="40"/>
        <v/>
      </c>
      <c r="D328" s="134" t="str">
        <f t="shared" ca="1" si="41"/>
        <v/>
      </c>
      <c r="E328" s="214" t="str">
        <f>IF($B328&lt;=$N$14,申込書!$F$16,"")</f>
        <v/>
      </c>
      <c r="F328" s="214" t="str">
        <f t="shared" si="42"/>
        <v/>
      </c>
      <c r="G328" s="214"/>
      <c r="H328" s="240" t="str">
        <f t="shared" ca="1" si="43"/>
        <v/>
      </c>
    </row>
    <row r="329" spans="1:8">
      <c r="A329" s="211">
        <f t="shared" si="44"/>
        <v>328</v>
      </c>
      <c r="B329" s="212">
        <f t="shared" si="45"/>
        <v>328</v>
      </c>
      <c r="C329" s="213" t="str">
        <f t="shared" si="40"/>
        <v/>
      </c>
      <c r="D329" s="134" t="str">
        <f t="shared" ca="1" si="41"/>
        <v/>
      </c>
      <c r="E329" s="214" t="str">
        <f>IF($B329&lt;=$N$14,申込書!$F$16,"")</f>
        <v/>
      </c>
      <c r="F329" s="214" t="str">
        <f t="shared" si="42"/>
        <v/>
      </c>
      <c r="G329" s="214"/>
      <c r="H329" s="240" t="str">
        <f t="shared" ca="1" si="43"/>
        <v/>
      </c>
    </row>
    <row r="330" spans="1:8">
      <c r="A330" s="211">
        <f t="shared" si="44"/>
        <v>329</v>
      </c>
      <c r="B330" s="212">
        <f t="shared" si="45"/>
        <v>329</v>
      </c>
      <c r="C330" s="213" t="str">
        <f t="shared" si="40"/>
        <v/>
      </c>
      <c r="D330" s="134" t="str">
        <f t="shared" ca="1" si="41"/>
        <v/>
      </c>
      <c r="E330" s="214" t="str">
        <f>IF($B330&lt;=$N$14,申込書!$F$16,"")</f>
        <v/>
      </c>
      <c r="F330" s="214" t="str">
        <f t="shared" si="42"/>
        <v/>
      </c>
      <c r="G330" s="214"/>
      <c r="H330" s="240" t="str">
        <f t="shared" ca="1" si="43"/>
        <v/>
      </c>
    </row>
    <row r="331" spans="1:8">
      <c r="A331" s="211">
        <f t="shared" si="44"/>
        <v>330</v>
      </c>
      <c r="B331" s="212">
        <f t="shared" si="45"/>
        <v>330</v>
      </c>
      <c r="C331" s="213" t="str">
        <f t="shared" si="40"/>
        <v/>
      </c>
      <c r="D331" s="134" t="str">
        <f t="shared" ca="1" si="41"/>
        <v/>
      </c>
      <c r="E331" s="214" t="str">
        <f>IF($B331&lt;=$N$14,申込書!$F$16,"")</f>
        <v/>
      </c>
      <c r="F331" s="214" t="str">
        <f t="shared" si="42"/>
        <v/>
      </c>
      <c r="G331" s="214"/>
      <c r="H331" s="240" t="str">
        <f t="shared" ca="1" si="43"/>
        <v/>
      </c>
    </row>
    <row r="332" spans="1:8">
      <c r="A332" s="211">
        <f t="shared" si="44"/>
        <v>331</v>
      </c>
      <c r="B332" s="212">
        <f t="shared" si="45"/>
        <v>331</v>
      </c>
      <c r="C332" s="213" t="str">
        <f t="shared" si="40"/>
        <v/>
      </c>
      <c r="D332" s="134" t="str">
        <f t="shared" ca="1" si="41"/>
        <v/>
      </c>
      <c r="E332" s="214" t="str">
        <f>IF($B332&lt;=$N$14,申込書!$F$16,"")</f>
        <v/>
      </c>
      <c r="F332" s="214" t="str">
        <f t="shared" si="42"/>
        <v/>
      </c>
      <c r="G332" s="214"/>
      <c r="H332" s="240" t="str">
        <f t="shared" ca="1" si="43"/>
        <v/>
      </c>
    </row>
    <row r="333" spans="1:8">
      <c r="A333" s="211">
        <f t="shared" si="44"/>
        <v>332</v>
      </c>
      <c r="B333" s="212">
        <f t="shared" si="45"/>
        <v>332</v>
      </c>
      <c r="C333" s="213" t="str">
        <f t="shared" si="40"/>
        <v/>
      </c>
      <c r="D333" s="134" t="str">
        <f t="shared" ca="1" si="41"/>
        <v/>
      </c>
      <c r="E333" s="214" t="str">
        <f>IF($B333&lt;=$N$14,申込書!$F$16,"")</f>
        <v/>
      </c>
      <c r="F333" s="214" t="str">
        <f t="shared" si="42"/>
        <v/>
      </c>
      <c r="G333" s="214"/>
      <c r="H333" s="240" t="str">
        <f t="shared" ca="1" si="43"/>
        <v/>
      </c>
    </row>
    <row r="334" spans="1:8">
      <c r="A334" s="211">
        <f t="shared" si="44"/>
        <v>333</v>
      </c>
      <c r="B334" s="212">
        <f t="shared" si="45"/>
        <v>333</v>
      </c>
      <c r="C334" s="213" t="str">
        <f t="shared" si="40"/>
        <v/>
      </c>
      <c r="D334" s="134" t="str">
        <f t="shared" ca="1" si="41"/>
        <v/>
      </c>
      <c r="E334" s="214" t="str">
        <f>IF($B334&lt;=$N$14,申込書!$F$16,"")</f>
        <v/>
      </c>
      <c r="F334" s="214" t="str">
        <f t="shared" si="42"/>
        <v/>
      </c>
      <c r="G334" s="214"/>
      <c r="H334" s="240" t="str">
        <f t="shared" ca="1" si="43"/>
        <v/>
      </c>
    </row>
    <row r="335" spans="1:8">
      <c r="A335" s="211">
        <f t="shared" si="44"/>
        <v>334</v>
      </c>
      <c r="B335" s="212">
        <f t="shared" si="45"/>
        <v>334</v>
      </c>
      <c r="C335" s="213" t="str">
        <f t="shared" si="40"/>
        <v/>
      </c>
      <c r="D335" s="134" t="str">
        <f t="shared" ca="1" si="41"/>
        <v/>
      </c>
      <c r="E335" s="214" t="str">
        <f>IF($B335&lt;=$N$14,申込書!$F$16,"")</f>
        <v/>
      </c>
      <c r="F335" s="214" t="str">
        <f t="shared" si="42"/>
        <v/>
      </c>
      <c r="G335" s="214"/>
      <c r="H335" s="240" t="str">
        <f t="shared" ca="1" si="43"/>
        <v/>
      </c>
    </row>
    <row r="336" spans="1:8">
      <c r="A336" s="211">
        <f t="shared" si="44"/>
        <v>335</v>
      </c>
      <c r="B336" s="212">
        <f t="shared" si="45"/>
        <v>335</v>
      </c>
      <c r="C336" s="213" t="str">
        <f t="shared" si="40"/>
        <v/>
      </c>
      <c r="D336" s="134" t="str">
        <f t="shared" ca="1" si="41"/>
        <v/>
      </c>
      <c r="E336" s="214" t="str">
        <f>IF($B336&lt;=$N$14,申込書!$F$16,"")</f>
        <v/>
      </c>
      <c r="F336" s="214" t="str">
        <f t="shared" si="42"/>
        <v/>
      </c>
      <c r="G336" s="214"/>
      <c r="H336" s="240" t="str">
        <f t="shared" ca="1" si="43"/>
        <v/>
      </c>
    </row>
    <row r="337" spans="1:8">
      <c r="A337" s="211">
        <f t="shared" si="44"/>
        <v>336</v>
      </c>
      <c r="B337" s="212">
        <f t="shared" si="45"/>
        <v>336</v>
      </c>
      <c r="C337" s="213" t="str">
        <f t="shared" si="40"/>
        <v/>
      </c>
      <c r="D337" s="134" t="str">
        <f t="shared" ca="1" si="41"/>
        <v/>
      </c>
      <c r="E337" s="214" t="str">
        <f>IF($B337&lt;=$N$14,申込書!$F$16,"")</f>
        <v/>
      </c>
      <c r="F337" s="214" t="str">
        <f t="shared" si="42"/>
        <v/>
      </c>
      <c r="G337" s="214"/>
      <c r="H337" s="240" t="str">
        <f t="shared" ca="1" si="43"/>
        <v/>
      </c>
    </row>
    <row r="338" spans="1:8">
      <c r="A338" s="211">
        <f t="shared" si="44"/>
        <v>337</v>
      </c>
      <c r="B338" s="212">
        <f t="shared" si="45"/>
        <v>337</v>
      </c>
      <c r="C338" s="213" t="str">
        <f t="shared" si="40"/>
        <v/>
      </c>
      <c r="D338" s="134" t="str">
        <f t="shared" ca="1" si="41"/>
        <v/>
      </c>
      <c r="E338" s="214" t="str">
        <f>IF($B338&lt;=$N$14,申込書!$F$16,"")</f>
        <v/>
      </c>
      <c r="F338" s="214" t="str">
        <f t="shared" si="42"/>
        <v/>
      </c>
      <c r="G338" s="214"/>
      <c r="H338" s="240" t="str">
        <f t="shared" ca="1" si="43"/>
        <v/>
      </c>
    </row>
    <row r="339" spans="1:8">
      <c r="A339" s="211">
        <f t="shared" si="44"/>
        <v>338</v>
      </c>
      <c r="B339" s="212">
        <f t="shared" si="45"/>
        <v>338</v>
      </c>
      <c r="C339" s="213" t="str">
        <f t="shared" si="40"/>
        <v/>
      </c>
      <c r="D339" s="134" t="str">
        <f t="shared" ca="1" si="41"/>
        <v/>
      </c>
      <c r="E339" s="214" t="str">
        <f>IF($B339&lt;=$N$14,申込書!$F$16,"")</f>
        <v/>
      </c>
      <c r="F339" s="214" t="str">
        <f t="shared" si="42"/>
        <v/>
      </c>
      <c r="G339" s="214"/>
      <c r="H339" s="240" t="str">
        <f t="shared" ca="1" si="43"/>
        <v/>
      </c>
    </row>
    <row r="340" spans="1:8">
      <c r="A340" s="211">
        <f t="shared" si="44"/>
        <v>339</v>
      </c>
      <c r="B340" s="212">
        <f t="shared" si="45"/>
        <v>339</v>
      </c>
      <c r="C340" s="213" t="str">
        <f t="shared" si="40"/>
        <v/>
      </c>
      <c r="D340" s="134" t="str">
        <f t="shared" ca="1" si="41"/>
        <v/>
      </c>
      <c r="E340" s="214" t="str">
        <f>IF($B340&lt;=$N$14,申込書!$F$16,"")</f>
        <v/>
      </c>
      <c r="F340" s="214" t="str">
        <f t="shared" si="42"/>
        <v/>
      </c>
      <c r="G340" s="214"/>
      <c r="H340" s="240" t="str">
        <f t="shared" ca="1" si="43"/>
        <v/>
      </c>
    </row>
    <row r="341" spans="1:8">
      <c r="A341" s="211">
        <f t="shared" si="44"/>
        <v>340</v>
      </c>
      <c r="B341" s="212">
        <f t="shared" si="45"/>
        <v>340</v>
      </c>
      <c r="C341" s="213" t="str">
        <f t="shared" si="40"/>
        <v/>
      </c>
      <c r="D341" s="134" t="str">
        <f t="shared" ca="1" si="41"/>
        <v/>
      </c>
      <c r="E341" s="214" t="str">
        <f>IF($B341&lt;=$N$14,申込書!$F$16,"")</f>
        <v/>
      </c>
      <c r="F341" s="214" t="str">
        <f t="shared" si="42"/>
        <v/>
      </c>
      <c r="G341" s="214"/>
      <c r="H341" s="240" t="str">
        <f t="shared" ca="1" si="43"/>
        <v/>
      </c>
    </row>
    <row r="342" spans="1:8">
      <c r="A342" s="211">
        <f t="shared" si="44"/>
        <v>341</v>
      </c>
      <c r="B342" s="212">
        <f t="shared" si="45"/>
        <v>341</v>
      </c>
      <c r="C342" s="213" t="str">
        <f t="shared" si="40"/>
        <v/>
      </c>
      <c r="D342" s="134" t="str">
        <f t="shared" ca="1" si="41"/>
        <v/>
      </c>
      <c r="E342" s="214" t="str">
        <f>IF($B342&lt;=$N$14,申込書!$F$16,"")</f>
        <v/>
      </c>
      <c r="F342" s="214" t="str">
        <f t="shared" si="42"/>
        <v/>
      </c>
      <c r="G342" s="214"/>
      <c r="H342" s="240" t="str">
        <f t="shared" ca="1" si="43"/>
        <v/>
      </c>
    </row>
    <row r="343" spans="1:8">
      <c r="A343" s="211">
        <f t="shared" si="44"/>
        <v>342</v>
      </c>
      <c r="B343" s="212">
        <f t="shared" si="45"/>
        <v>342</v>
      </c>
      <c r="C343" s="213" t="str">
        <f t="shared" si="40"/>
        <v/>
      </c>
      <c r="D343" s="134" t="str">
        <f t="shared" ca="1" si="41"/>
        <v/>
      </c>
      <c r="E343" s="214" t="str">
        <f>IF($B343&lt;=$N$14,申込書!$F$16,"")</f>
        <v/>
      </c>
      <c r="F343" s="214" t="str">
        <f t="shared" si="42"/>
        <v/>
      </c>
      <c r="G343" s="214"/>
      <c r="H343" s="240" t="str">
        <f t="shared" ca="1" si="43"/>
        <v/>
      </c>
    </row>
    <row r="344" spans="1:8">
      <c r="A344" s="211">
        <f t="shared" si="44"/>
        <v>343</v>
      </c>
      <c r="B344" s="212">
        <f t="shared" si="45"/>
        <v>343</v>
      </c>
      <c r="C344" s="213" t="str">
        <f t="shared" si="40"/>
        <v/>
      </c>
      <c r="D344" s="134" t="str">
        <f t="shared" ca="1" si="41"/>
        <v/>
      </c>
      <c r="E344" s="214" t="str">
        <f>IF($B344&lt;=$N$14,申込書!$F$16,"")</f>
        <v/>
      </c>
      <c r="F344" s="214" t="str">
        <f t="shared" si="42"/>
        <v/>
      </c>
      <c r="G344" s="214"/>
      <c r="H344" s="240" t="str">
        <f t="shared" ca="1" si="43"/>
        <v/>
      </c>
    </row>
    <row r="345" spans="1:8">
      <c r="A345" s="211">
        <f t="shared" si="44"/>
        <v>344</v>
      </c>
      <c r="B345" s="212">
        <f t="shared" si="45"/>
        <v>344</v>
      </c>
      <c r="C345" s="213" t="str">
        <f t="shared" si="40"/>
        <v/>
      </c>
      <c r="D345" s="134" t="str">
        <f t="shared" ca="1" si="41"/>
        <v/>
      </c>
      <c r="E345" s="214" t="str">
        <f>IF($B345&lt;=$N$14,申込書!$F$16,"")</f>
        <v/>
      </c>
      <c r="F345" s="214" t="str">
        <f t="shared" si="42"/>
        <v/>
      </c>
      <c r="G345" s="214"/>
      <c r="H345" s="240" t="str">
        <f t="shared" ca="1" si="43"/>
        <v/>
      </c>
    </row>
    <row r="346" spans="1:8">
      <c r="A346" s="211">
        <f t="shared" si="44"/>
        <v>345</v>
      </c>
      <c r="B346" s="212">
        <f t="shared" si="45"/>
        <v>345</v>
      </c>
      <c r="C346" s="213" t="str">
        <f t="shared" si="40"/>
        <v/>
      </c>
      <c r="D346" s="134" t="str">
        <f t="shared" ca="1" si="41"/>
        <v/>
      </c>
      <c r="E346" s="214" t="str">
        <f>IF($B346&lt;=$N$14,申込書!$F$16,"")</f>
        <v/>
      </c>
      <c r="F346" s="214" t="str">
        <f t="shared" si="42"/>
        <v/>
      </c>
      <c r="G346" s="214"/>
      <c r="H346" s="240" t="str">
        <f t="shared" ca="1" si="43"/>
        <v/>
      </c>
    </row>
    <row r="347" spans="1:8">
      <c r="A347" s="211">
        <f t="shared" si="44"/>
        <v>346</v>
      </c>
      <c r="B347" s="212">
        <f t="shared" si="45"/>
        <v>346</v>
      </c>
      <c r="C347" s="213" t="str">
        <f t="shared" si="40"/>
        <v/>
      </c>
      <c r="D347" s="134" t="str">
        <f t="shared" ca="1" si="41"/>
        <v/>
      </c>
      <c r="E347" s="214" t="str">
        <f>IF($B347&lt;=$N$14,申込書!$F$16,"")</f>
        <v/>
      </c>
      <c r="F347" s="214" t="str">
        <f t="shared" si="42"/>
        <v/>
      </c>
      <c r="G347" s="214"/>
      <c r="H347" s="240" t="str">
        <f t="shared" ca="1" si="43"/>
        <v/>
      </c>
    </row>
    <row r="348" spans="1:8">
      <c r="A348" s="211">
        <f t="shared" si="44"/>
        <v>347</v>
      </c>
      <c r="B348" s="212">
        <f t="shared" si="45"/>
        <v>347</v>
      </c>
      <c r="C348" s="213" t="str">
        <f t="shared" si="40"/>
        <v/>
      </c>
      <c r="D348" s="134" t="str">
        <f t="shared" ca="1" si="41"/>
        <v/>
      </c>
      <c r="E348" s="214" t="str">
        <f>IF($B348&lt;=$N$14,申込書!$F$16,"")</f>
        <v/>
      </c>
      <c r="F348" s="214" t="str">
        <f t="shared" si="42"/>
        <v/>
      </c>
      <c r="G348" s="214"/>
      <c r="H348" s="240" t="str">
        <f t="shared" ca="1" si="43"/>
        <v/>
      </c>
    </row>
    <row r="349" spans="1:8">
      <c r="A349" s="211">
        <f t="shared" si="44"/>
        <v>348</v>
      </c>
      <c r="B349" s="212">
        <f t="shared" si="45"/>
        <v>348</v>
      </c>
      <c r="C349" s="213" t="str">
        <f t="shared" si="40"/>
        <v/>
      </c>
      <c r="D349" s="134" t="str">
        <f t="shared" ca="1" si="41"/>
        <v/>
      </c>
      <c r="E349" s="214" t="str">
        <f>IF($B349&lt;=$N$14,申込書!$F$16,"")</f>
        <v/>
      </c>
      <c r="F349" s="214" t="str">
        <f t="shared" si="42"/>
        <v/>
      </c>
      <c r="G349" s="214"/>
      <c r="H349" s="240" t="str">
        <f t="shared" ca="1" si="43"/>
        <v/>
      </c>
    </row>
    <row r="350" spans="1:8">
      <c r="A350" s="211">
        <f t="shared" si="44"/>
        <v>349</v>
      </c>
      <c r="B350" s="212">
        <f t="shared" si="45"/>
        <v>349</v>
      </c>
      <c r="C350" s="213" t="str">
        <f t="shared" si="40"/>
        <v/>
      </c>
      <c r="D350" s="134" t="str">
        <f t="shared" ca="1" si="41"/>
        <v/>
      </c>
      <c r="E350" s="214" t="str">
        <f>IF($B350&lt;=$N$14,申込書!$F$16,"")</f>
        <v/>
      </c>
      <c r="F350" s="214" t="str">
        <f t="shared" si="42"/>
        <v/>
      </c>
      <c r="G350" s="214"/>
      <c r="H350" s="240" t="str">
        <f t="shared" ca="1" si="43"/>
        <v/>
      </c>
    </row>
    <row r="351" spans="1:8">
      <c r="A351" s="211">
        <f t="shared" si="44"/>
        <v>350</v>
      </c>
      <c r="B351" s="212">
        <f t="shared" si="45"/>
        <v>350</v>
      </c>
      <c r="C351" s="213" t="str">
        <f t="shared" si="40"/>
        <v/>
      </c>
      <c r="D351" s="134" t="str">
        <f t="shared" ca="1" si="41"/>
        <v/>
      </c>
      <c r="E351" s="214" t="str">
        <f>IF($B351&lt;=$N$14,申込書!$F$16,"")</f>
        <v/>
      </c>
      <c r="F351" s="214" t="str">
        <f t="shared" si="42"/>
        <v/>
      </c>
      <c r="G351" s="214"/>
      <c r="H351" s="240" t="str">
        <f t="shared" ca="1" si="43"/>
        <v/>
      </c>
    </row>
    <row r="352" spans="1:8">
      <c r="A352" s="211">
        <f t="shared" si="44"/>
        <v>351</v>
      </c>
      <c r="B352" s="212">
        <f t="shared" si="45"/>
        <v>351</v>
      </c>
      <c r="C352" s="213" t="str">
        <f t="shared" si="40"/>
        <v/>
      </c>
      <c r="D352" s="134" t="str">
        <f t="shared" ca="1" si="41"/>
        <v/>
      </c>
      <c r="E352" s="214" t="str">
        <f>IF($B352&lt;=$N$14,申込書!$F$16,"")</f>
        <v/>
      </c>
      <c r="F352" s="214" t="str">
        <f t="shared" si="42"/>
        <v/>
      </c>
      <c r="G352" s="214"/>
      <c r="H352" s="240" t="str">
        <f t="shared" ca="1" si="43"/>
        <v/>
      </c>
    </row>
    <row r="353" spans="1:8">
      <c r="A353" s="211">
        <f t="shared" si="44"/>
        <v>352</v>
      </c>
      <c r="B353" s="212">
        <f t="shared" si="45"/>
        <v>352</v>
      </c>
      <c r="C353" s="213" t="str">
        <f t="shared" si="40"/>
        <v/>
      </c>
      <c r="D353" s="134" t="str">
        <f t="shared" ca="1" si="41"/>
        <v/>
      </c>
      <c r="E353" s="214" t="str">
        <f>IF($B353&lt;=$N$14,申込書!$F$16,"")</f>
        <v/>
      </c>
      <c r="F353" s="214" t="str">
        <f t="shared" si="42"/>
        <v/>
      </c>
      <c r="G353" s="214"/>
      <c r="H353" s="240" t="str">
        <f t="shared" ca="1" si="43"/>
        <v/>
      </c>
    </row>
    <row r="354" spans="1:8">
      <c r="A354" s="211">
        <f t="shared" si="44"/>
        <v>353</v>
      </c>
      <c r="B354" s="212">
        <f t="shared" si="45"/>
        <v>353</v>
      </c>
      <c r="C354" s="213" t="str">
        <f t="shared" si="40"/>
        <v/>
      </c>
      <c r="D354" s="134" t="str">
        <f t="shared" ca="1" si="41"/>
        <v/>
      </c>
      <c r="E354" s="214" t="str">
        <f>IF($B354&lt;=$N$14,申込書!$F$16,"")</f>
        <v/>
      </c>
      <c r="F354" s="214" t="str">
        <f t="shared" si="42"/>
        <v/>
      </c>
      <c r="G354" s="214"/>
      <c r="H354" s="240" t="str">
        <f t="shared" ca="1" si="43"/>
        <v/>
      </c>
    </row>
    <row r="355" spans="1:8">
      <c r="A355" s="211">
        <f t="shared" si="44"/>
        <v>354</v>
      </c>
      <c r="B355" s="212">
        <f t="shared" si="45"/>
        <v>354</v>
      </c>
      <c r="C355" s="213" t="str">
        <f t="shared" si="40"/>
        <v/>
      </c>
      <c r="D355" s="134" t="str">
        <f t="shared" ca="1" si="41"/>
        <v/>
      </c>
      <c r="E355" s="214" t="str">
        <f>IF($B355&lt;=$N$14,申込書!$F$16,"")</f>
        <v/>
      </c>
      <c r="F355" s="214" t="str">
        <f t="shared" si="42"/>
        <v/>
      </c>
      <c r="G355" s="214"/>
      <c r="H355" s="240" t="str">
        <f t="shared" ca="1" si="43"/>
        <v/>
      </c>
    </row>
    <row r="356" spans="1:8">
      <c r="A356" s="211">
        <f t="shared" si="44"/>
        <v>355</v>
      </c>
      <c r="B356" s="212">
        <f t="shared" si="45"/>
        <v>355</v>
      </c>
      <c r="C356" s="213" t="str">
        <f t="shared" si="40"/>
        <v/>
      </c>
      <c r="D356" s="134" t="str">
        <f t="shared" ca="1" si="41"/>
        <v/>
      </c>
      <c r="E356" s="214" t="str">
        <f>IF($B356&lt;=$N$14,申込書!$F$16,"")</f>
        <v/>
      </c>
      <c r="F356" s="214" t="str">
        <f t="shared" si="42"/>
        <v/>
      </c>
      <c r="G356" s="214"/>
      <c r="H356" s="240" t="str">
        <f t="shared" ca="1" si="43"/>
        <v/>
      </c>
    </row>
    <row r="357" spans="1:8">
      <c r="A357" s="211">
        <f t="shared" si="44"/>
        <v>356</v>
      </c>
      <c r="B357" s="212">
        <f t="shared" si="45"/>
        <v>356</v>
      </c>
      <c r="C357" s="213" t="str">
        <f t="shared" si="40"/>
        <v/>
      </c>
      <c r="D357" s="134" t="str">
        <f t="shared" ca="1" si="41"/>
        <v/>
      </c>
      <c r="E357" s="214" t="str">
        <f>IF($B357&lt;=$N$14,申込書!$F$16,"")</f>
        <v/>
      </c>
      <c r="F357" s="214" t="str">
        <f t="shared" si="42"/>
        <v/>
      </c>
      <c r="G357" s="214"/>
      <c r="H357" s="240" t="str">
        <f t="shared" ca="1" si="43"/>
        <v/>
      </c>
    </row>
    <row r="358" spans="1:8">
      <c r="A358" s="211">
        <f t="shared" si="44"/>
        <v>357</v>
      </c>
      <c r="B358" s="212">
        <f t="shared" si="45"/>
        <v>357</v>
      </c>
      <c r="C358" s="213" t="str">
        <f t="shared" si="40"/>
        <v/>
      </c>
      <c r="D358" s="134" t="str">
        <f t="shared" ca="1" si="41"/>
        <v/>
      </c>
      <c r="E358" s="214" t="str">
        <f>IF($B358&lt;=$N$14,申込書!$F$16,"")</f>
        <v/>
      </c>
      <c r="F358" s="214" t="str">
        <f t="shared" si="42"/>
        <v/>
      </c>
      <c r="G358" s="214"/>
      <c r="H358" s="240" t="str">
        <f t="shared" ca="1" si="43"/>
        <v/>
      </c>
    </row>
    <row r="359" spans="1:8">
      <c r="A359" s="211">
        <f t="shared" si="44"/>
        <v>358</v>
      </c>
      <c r="B359" s="212">
        <f t="shared" si="45"/>
        <v>358</v>
      </c>
      <c r="C359" s="213" t="str">
        <f t="shared" si="40"/>
        <v/>
      </c>
      <c r="D359" s="134" t="str">
        <f t="shared" ca="1" si="41"/>
        <v/>
      </c>
      <c r="E359" s="214" t="str">
        <f>IF($B359&lt;=$N$14,申込書!$F$16,"")</f>
        <v/>
      </c>
      <c r="F359" s="214" t="str">
        <f t="shared" si="42"/>
        <v/>
      </c>
      <c r="G359" s="214"/>
      <c r="H359" s="240" t="str">
        <f t="shared" ca="1" si="43"/>
        <v/>
      </c>
    </row>
    <row r="360" spans="1:8">
      <c r="A360" s="211">
        <f t="shared" si="44"/>
        <v>359</v>
      </c>
      <c r="B360" s="212">
        <f t="shared" si="45"/>
        <v>359</v>
      </c>
      <c r="C360" s="213" t="str">
        <f t="shared" si="40"/>
        <v/>
      </c>
      <c r="D360" s="134" t="str">
        <f t="shared" ca="1" si="41"/>
        <v/>
      </c>
      <c r="E360" s="214" t="str">
        <f>IF($B360&lt;=$N$14,申込書!$F$16,"")</f>
        <v/>
      </c>
      <c r="F360" s="214" t="str">
        <f t="shared" si="42"/>
        <v/>
      </c>
      <c r="G360" s="214"/>
      <c r="H360" s="240" t="str">
        <f t="shared" ca="1" si="43"/>
        <v/>
      </c>
    </row>
    <row r="361" spans="1:8">
      <c r="A361" s="211">
        <f t="shared" si="44"/>
        <v>360</v>
      </c>
      <c r="B361" s="212">
        <f t="shared" si="45"/>
        <v>360</v>
      </c>
      <c r="C361" s="213" t="str">
        <f t="shared" si="40"/>
        <v/>
      </c>
      <c r="D361" s="134" t="str">
        <f t="shared" ca="1" si="41"/>
        <v/>
      </c>
      <c r="E361" s="214" t="str">
        <f>IF($B361&lt;=$N$14,申込書!$F$16,"")</f>
        <v/>
      </c>
      <c r="F361" s="214" t="str">
        <f t="shared" si="42"/>
        <v/>
      </c>
      <c r="G361" s="214"/>
      <c r="H361" s="240" t="str">
        <f t="shared" ca="1" si="43"/>
        <v/>
      </c>
    </row>
    <row r="362" spans="1:8">
      <c r="B362" s="212"/>
    </row>
    <row r="363" spans="1:8">
      <c r="B363" s="212"/>
    </row>
  </sheetData>
  <phoneticPr fontId="6"/>
  <conditionalFormatting sqref="A2:C361">
    <cfRule type="expression" dxfId="13" priority="15">
      <formula>AND($A2=1,C2&lt;&gt;"")</formula>
    </cfRule>
  </conditionalFormatting>
  <conditionalFormatting sqref="B2:G361">
    <cfRule type="expression" dxfId="12" priority="34">
      <formula>$F2&lt;&gt;""</formula>
    </cfRule>
  </conditionalFormatting>
  <conditionalFormatting sqref="E2:E361">
    <cfRule type="expression" dxfId="11" priority="4">
      <formula>VLOOKUP($D2,user,2)="error"</formula>
    </cfRule>
  </conditionalFormatting>
  <conditionalFormatting sqref="H1">
    <cfRule type="cellIs" dxfId="10" priority="3" operator="equal">
      <formula>"error"</formula>
    </cfRule>
  </conditionalFormatting>
  <conditionalFormatting sqref="J18:J47">
    <cfRule type="cellIs" dxfId="9" priority="39" operator="notEqual">
      <formula>$I18</formula>
    </cfRule>
  </conditionalFormatting>
  <conditionalFormatting sqref="M17:X17">
    <cfRule type="notContainsBlanks" dxfId="8" priority="2">
      <formula>LEN(TRIM(M17))&gt;0</formula>
    </cfRule>
  </conditionalFormatting>
  <conditionalFormatting sqref="M49:X49">
    <cfRule type="cellIs" dxfId="7" priority="9" operator="notEqual">
      <formula>M$16</formula>
    </cfRule>
  </conditionalFormatting>
  <conditionalFormatting sqref="O2:O13">
    <cfRule type="cellIs" dxfId="6" priority="11" operator="notEqual">
      <formula>$N2</formula>
    </cfRule>
  </conditionalFormatting>
  <conditionalFormatting sqref="R2:R14">
    <cfRule type="cellIs" dxfId="5" priority="10" operator="notEqual">
      <formula>0</formula>
    </cfRule>
  </conditionalFormatting>
  <conditionalFormatting sqref="T2:T13">
    <cfRule type="expression" dxfId="4" priority="1">
      <formula>AND($S2=1,$T2=0)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A1:K31"/>
  <sheetViews>
    <sheetView zoomScale="105" zoomScaleNormal="105" workbookViewId="0">
      <selection activeCell="D22" sqref="D22:D23"/>
    </sheetView>
  </sheetViews>
  <sheetFormatPr defaultColWidth="14.453125" defaultRowHeight="14"/>
  <cols>
    <col min="1" max="1" width="12.08984375" style="200" customWidth="1"/>
    <col min="2" max="2" width="14.453125" style="200"/>
    <col min="3" max="3" width="16.6328125" style="200" customWidth="1"/>
    <col min="4" max="4" width="14.453125" style="200"/>
    <col min="5" max="7" width="12.453125" style="200" customWidth="1"/>
    <col min="8" max="8" width="9.90625" style="200" customWidth="1"/>
    <col min="9" max="16384" width="14.453125" style="200"/>
  </cols>
  <sheetData>
    <row r="1" spans="1:11">
      <c r="A1" s="225" t="s">
        <v>191</v>
      </c>
      <c r="B1" s="201" t="s">
        <v>255</v>
      </c>
      <c r="C1" s="201" t="s">
        <v>256</v>
      </c>
      <c r="D1" s="199" t="s">
        <v>257</v>
      </c>
      <c r="E1" s="199" t="s">
        <v>258</v>
      </c>
      <c r="F1" s="199" t="s">
        <v>259</v>
      </c>
      <c r="G1" s="199" t="s">
        <v>260</v>
      </c>
      <c r="H1" s="199" t="s">
        <v>261</v>
      </c>
      <c r="I1" s="199" t="s">
        <v>262</v>
      </c>
      <c r="J1" s="199" t="s">
        <v>263</v>
      </c>
      <c r="K1" s="199" t="s">
        <v>264</v>
      </c>
    </row>
    <row r="2" spans="1:11" s="243" customFormat="1">
      <c r="B2" s="385" t="str">
        <f>IF(受講者登録表!$A15=1,IF(受講者登録表!C15&lt;&gt;"",受講者登録表!C15,"error"),"")</f>
        <v/>
      </c>
      <c r="C2" s="385" t="str">
        <f>IF(受講者登録表!$A15=1,IF(受講者登録表!D15&lt;&gt;"",受講者登録表!D15,"error"),"")</f>
        <v/>
      </c>
      <c r="E2" s="244"/>
      <c r="F2" s="244"/>
    </row>
    <row r="3" spans="1:11" s="243" customFormat="1">
      <c r="B3" s="385" t="str">
        <f>IF(受講者登録表!$A16=1,IF(受講者登録表!C16&lt;&gt;"",受講者登録表!C16,"error"),"")</f>
        <v/>
      </c>
      <c r="C3" s="385" t="str">
        <f>IF(受講者登録表!$A16=1,IF(受講者登録表!D16&lt;&gt;"",受講者登録表!D16,"error"),"")</f>
        <v/>
      </c>
      <c r="E3" s="244"/>
      <c r="F3" s="244"/>
    </row>
    <row r="4" spans="1:11" s="243" customFormat="1">
      <c r="B4" s="385" t="str">
        <f>IF(受講者登録表!$A17=1,IF(受講者登録表!C17&lt;&gt;"",受講者登録表!C17,"error"),"")</f>
        <v/>
      </c>
      <c r="C4" s="385" t="str">
        <f>IF(受講者登録表!$A17=1,IF(受講者登録表!D17&lt;&gt;"",受講者登録表!D17,"error"),"")</f>
        <v/>
      </c>
      <c r="E4" s="244"/>
      <c r="F4" s="244"/>
    </row>
    <row r="5" spans="1:11" s="243" customFormat="1">
      <c r="B5" s="385" t="str">
        <f>IF(受講者登録表!$A18=1,IF(受講者登録表!C18&lt;&gt;"",受講者登録表!C18,"error"),"")</f>
        <v/>
      </c>
      <c r="C5" s="385" t="str">
        <f>IF(受講者登録表!$A18=1,IF(受講者登録表!D18&lt;&gt;"",受講者登録表!D18,"error"),"")</f>
        <v/>
      </c>
      <c r="E5" s="244"/>
      <c r="F5" s="244"/>
    </row>
    <row r="6" spans="1:11" s="243" customFormat="1">
      <c r="B6" s="385" t="str">
        <f>IF(受講者登録表!$A19=1,IF(受講者登録表!C19&lt;&gt;"",受講者登録表!C19,"error"),"")</f>
        <v/>
      </c>
      <c r="C6" s="385" t="str">
        <f>IF(受講者登録表!$A19=1,IF(受講者登録表!D19&lt;&gt;"",受講者登録表!D19,"error"),"")</f>
        <v/>
      </c>
      <c r="E6" s="244"/>
      <c r="F6" s="244"/>
    </row>
    <row r="7" spans="1:11" s="243" customFormat="1">
      <c r="B7" s="385" t="str">
        <f>IF(受講者登録表!$A20=1,IF(受講者登録表!C20&lt;&gt;"",受講者登録表!C20,"error"),"")</f>
        <v/>
      </c>
      <c r="C7" s="385" t="str">
        <f>IF(受講者登録表!$A20=1,IF(受講者登録表!D20&lt;&gt;"",受講者登録表!D20,"error"),"")</f>
        <v/>
      </c>
      <c r="E7" s="244"/>
      <c r="F7" s="244"/>
    </row>
    <row r="8" spans="1:11" s="243" customFormat="1">
      <c r="B8" s="385" t="str">
        <f>IF(受講者登録表!$A21=1,IF(受講者登録表!C21&lt;&gt;"",受講者登録表!C21,"error"),"")</f>
        <v/>
      </c>
      <c r="C8" s="385" t="str">
        <f>IF(受講者登録表!$A21=1,IF(受講者登録表!D21&lt;&gt;"",受講者登録表!D21,"error"),"")</f>
        <v/>
      </c>
      <c r="E8" s="244"/>
      <c r="F8" s="244"/>
    </row>
    <row r="9" spans="1:11" s="243" customFormat="1">
      <c r="B9" s="385" t="str">
        <f>IF(受講者登録表!$A22=1,IF(受講者登録表!C22&lt;&gt;"",受講者登録表!C22,"error"),"")</f>
        <v/>
      </c>
      <c r="C9" s="385" t="str">
        <f>IF(受講者登録表!$A22=1,IF(受講者登録表!D22&lt;&gt;"",受講者登録表!D22,"error"),"")</f>
        <v/>
      </c>
      <c r="E9" s="244"/>
      <c r="F9" s="244"/>
    </row>
    <row r="10" spans="1:11" s="243" customFormat="1">
      <c r="B10" s="385" t="str">
        <f>IF(受講者登録表!$A23=1,IF(受講者登録表!C23&lt;&gt;"",受講者登録表!C23,"error"),"")</f>
        <v/>
      </c>
      <c r="C10" s="385" t="str">
        <f>IF(受講者登録表!$A23=1,IF(受講者登録表!D23&lt;&gt;"",受講者登録表!D23,"error"),"")</f>
        <v/>
      </c>
      <c r="E10" s="244"/>
      <c r="F10" s="244"/>
    </row>
    <row r="11" spans="1:11" s="243" customFormat="1">
      <c r="A11" s="243" t="str">
        <f>IF(AND(B11&lt;&gt;"",受講者登録表!S24=0),"講座なし","")</f>
        <v/>
      </c>
      <c r="B11" s="385" t="str">
        <f>IF(受講者登録表!$A24=1,IF(受講者登録表!C24&lt;&gt;"",受講者登録表!C24,"error"),"")</f>
        <v/>
      </c>
      <c r="C11" s="385" t="str">
        <f>IF(受講者登録表!$A24=1,IF(受講者登録表!D24&lt;&gt;"",受講者登録表!D24,"error"),"")</f>
        <v/>
      </c>
      <c r="E11" s="244"/>
      <c r="F11" s="244"/>
    </row>
    <row r="12" spans="1:11" s="243" customFormat="1">
      <c r="A12" s="243" t="str">
        <f>IF(AND(B12&lt;&gt;"",受講者登録表!S25=0),"講座なし","")</f>
        <v/>
      </c>
      <c r="B12" s="385" t="str">
        <f>IF(受講者登録表!$A25=1,IF(受講者登録表!C25&lt;&gt;"",受講者登録表!C25,"error"),"")</f>
        <v/>
      </c>
      <c r="C12" s="385" t="str">
        <f>IF(受講者登録表!$A25=1,IF(受講者登録表!D25&lt;&gt;"",受講者登録表!D25,"error"),"")</f>
        <v/>
      </c>
      <c r="E12" s="244"/>
      <c r="F12" s="244"/>
    </row>
    <row r="13" spans="1:11" s="243" customFormat="1">
      <c r="A13" s="243" t="str">
        <f>IF(AND(B13&lt;&gt;"",受講者登録表!S26=0),"講座なし","")</f>
        <v/>
      </c>
      <c r="B13" s="385" t="str">
        <f>IF(受講者登録表!$A26=1,IF(受講者登録表!C26&lt;&gt;"",受講者登録表!C26,"error"),"")</f>
        <v/>
      </c>
      <c r="C13" s="385" t="str">
        <f>IF(受講者登録表!$A26=1,IF(受講者登録表!D26&lt;&gt;"",受講者登録表!D26,"error"),"")</f>
        <v/>
      </c>
      <c r="E13" s="244"/>
      <c r="F13" s="244"/>
    </row>
    <row r="14" spans="1:11" s="243" customFormat="1">
      <c r="A14" s="243" t="str">
        <f>IF(AND(B14&lt;&gt;"",受講者登録表!S27=0),"講座なし","")</f>
        <v/>
      </c>
      <c r="B14" s="385" t="str">
        <f>IF(受講者登録表!$A27=1,IF(受講者登録表!C27&lt;&gt;"",受講者登録表!C27,"error"),"")</f>
        <v/>
      </c>
      <c r="C14" s="385" t="str">
        <f>IF(受講者登録表!$A27=1,IF(受講者登録表!D27&lt;&gt;"",受講者登録表!D27,"error"),"")</f>
        <v/>
      </c>
      <c r="E14" s="244"/>
      <c r="F14" s="244"/>
    </row>
    <row r="15" spans="1:11" s="243" customFormat="1">
      <c r="A15" s="243" t="str">
        <f>IF(AND(B15&lt;&gt;"",受講者登録表!S28=0),"講座なし","")</f>
        <v/>
      </c>
      <c r="B15" s="385" t="str">
        <f>IF(受講者登録表!$A28=1,IF(受講者登録表!C28&lt;&gt;"",受講者登録表!C28,"error"),"")</f>
        <v/>
      </c>
      <c r="C15" s="385" t="str">
        <f>IF(受講者登録表!$A28=1,IF(受講者登録表!D28&lt;&gt;"",受講者登録表!D28,"error"),"")</f>
        <v/>
      </c>
      <c r="E15" s="244"/>
      <c r="F15" s="244"/>
    </row>
    <row r="16" spans="1:11" s="243" customFormat="1">
      <c r="A16" s="243" t="str">
        <f>IF(AND(B16&lt;&gt;"",受講者登録表!S29=0),"講座なし","")</f>
        <v/>
      </c>
      <c r="B16" s="385" t="str">
        <f>IF(受講者登録表!$A29=1,IF(受講者登録表!C29&lt;&gt;"",受講者登録表!C29,"error"),"")</f>
        <v/>
      </c>
      <c r="C16" s="385" t="str">
        <f>IF(受講者登録表!$A29=1,IF(受講者登録表!D29&lt;&gt;"",受講者登録表!D29,"error"),"")</f>
        <v/>
      </c>
      <c r="E16" s="244"/>
      <c r="F16" s="244"/>
    </row>
    <row r="17" spans="1:6" s="243" customFormat="1">
      <c r="A17" s="243" t="str">
        <f>IF(AND(B17&lt;&gt;"",受講者登録表!S30=0),"講座なし","")</f>
        <v/>
      </c>
      <c r="B17" s="385" t="str">
        <f>IF(受講者登録表!$A30=1,IF(受講者登録表!C30&lt;&gt;"",受講者登録表!C30,"error"),"")</f>
        <v/>
      </c>
      <c r="C17" s="385" t="str">
        <f>IF(受講者登録表!$A30=1,IF(受講者登録表!D30&lt;&gt;"",受講者登録表!D30,"error"),"")</f>
        <v/>
      </c>
      <c r="E17" s="244"/>
      <c r="F17" s="244"/>
    </row>
    <row r="18" spans="1:6" s="243" customFormat="1">
      <c r="A18" s="243" t="str">
        <f>IF(AND(B18&lt;&gt;"",受講者登録表!S31=0),"講座なし","")</f>
        <v/>
      </c>
      <c r="B18" s="385" t="str">
        <f>IF(受講者登録表!$A31=1,IF(受講者登録表!C31&lt;&gt;"",受講者登録表!C31,"error"),"")</f>
        <v/>
      </c>
      <c r="C18" s="385" t="str">
        <f>IF(受講者登録表!$A31=1,IF(受講者登録表!D31&lt;&gt;"",受講者登録表!D31,"error"),"")</f>
        <v/>
      </c>
      <c r="E18" s="244"/>
      <c r="F18" s="244"/>
    </row>
    <row r="19" spans="1:6" s="243" customFormat="1">
      <c r="A19" s="243" t="str">
        <f>IF(AND(B19&lt;&gt;"",受講者登録表!S32=0),"講座なし","")</f>
        <v/>
      </c>
      <c r="B19" s="385" t="str">
        <f>IF(受講者登録表!$A32=1,IF(受講者登録表!C32&lt;&gt;"",受講者登録表!C32,"error"),"")</f>
        <v/>
      </c>
      <c r="C19" s="385" t="str">
        <f>IF(受講者登録表!$A32=1,IF(受講者登録表!D32&lt;&gt;"",受講者登録表!D32,"error"),"")</f>
        <v/>
      </c>
      <c r="E19" s="244"/>
      <c r="F19" s="244"/>
    </row>
    <row r="20" spans="1:6" s="243" customFormat="1">
      <c r="A20" s="243" t="str">
        <f>IF(AND(B20&lt;&gt;"",受講者登録表!S33=0),"講座なし","")</f>
        <v/>
      </c>
      <c r="B20" s="385" t="str">
        <f>IF(受講者登録表!$A33=1,IF(受講者登録表!C33&lt;&gt;"",受講者登録表!C33,"error"),"")</f>
        <v/>
      </c>
      <c r="C20" s="385" t="str">
        <f>IF(受講者登録表!$A33=1,IF(受講者登録表!D33&lt;&gt;"",受講者登録表!D33,"error"),"")</f>
        <v/>
      </c>
      <c r="E20" s="244"/>
      <c r="F20" s="244"/>
    </row>
    <row r="21" spans="1:6" s="243" customFormat="1">
      <c r="A21" s="243" t="str">
        <f>IF(AND(B21&lt;&gt;"",受講者登録表!S34=0),"講座なし","")</f>
        <v/>
      </c>
      <c r="B21" s="385" t="str">
        <f>IF(受講者登録表!$A34=1,IF(受講者登録表!C34&lt;&gt;"",受講者登録表!C34,"error"),"")</f>
        <v/>
      </c>
      <c r="C21" s="385" t="str">
        <f>IF(受講者登録表!$A34=1,IF(受講者登録表!D34&lt;&gt;"",受講者登録表!D34,"error"),"")</f>
        <v/>
      </c>
      <c r="E21" s="244"/>
      <c r="F21" s="244"/>
    </row>
    <row r="22" spans="1:6" s="243" customFormat="1">
      <c r="A22" s="243" t="str">
        <f>IF(AND(B22&lt;&gt;"",受講者登録表!S35=0),"講座なし","")</f>
        <v/>
      </c>
      <c r="B22" s="385" t="str">
        <f>IF(受講者登録表!$A35=1,IF(受講者登録表!C35&lt;&gt;"",受講者登録表!C35,"error"),"")</f>
        <v/>
      </c>
      <c r="C22" s="385" t="str">
        <f>IF(受講者登録表!$A35=1,IF(受講者登録表!D35&lt;&gt;"",受講者登録表!D35,"error"),"")</f>
        <v/>
      </c>
      <c r="E22" s="244"/>
      <c r="F22" s="244"/>
    </row>
    <row r="23" spans="1:6" s="243" customFormat="1">
      <c r="A23" s="243" t="str">
        <f>IF(AND(B23&lt;&gt;"",受講者登録表!S36=0),"講座なし","")</f>
        <v/>
      </c>
      <c r="B23" s="385" t="str">
        <f>IF(受講者登録表!$A36=1,IF(受講者登録表!C36&lt;&gt;"",受講者登録表!C36,"error"),"")</f>
        <v/>
      </c>
      <c r="C23" s="385" t="str">
        <f>IF(受講者登録表!$A36=1,IF(受講者登録表!D36&lt;&gt;"",受講者登録表!D36,"error"),"")</f>
        <v/>
      </c>
      <c r="E23" s="244"/>
      <c r="F23" s="244"/>
    </row>
    <row r="24" spans="1:6" s="243" customFormat="1">
      <c r="A24" s="243" t="str">
        <f>IF(AND(B24&lt;&gt;"",受講者登録表!S37=0),"講座なし","")</f>
        <v/>
      </c>
      <c r="B24" s="385" t="str">
        <f>IF(受講者登録表!$A37=1,IF(受講者登録表!C37&lt;&gt;"",受講者登録表!C37,"error"),"")</f>
        <v/>
      </c>
      <c r="C24" s="385" t="str">
        <f>IF(受講者登録表!$A37=1,IF(受講者登録表!D37&lt;&gt;"",受講者登録表!D37,"error"),"")</f>
        <v/>
      </c>
      <c r="E24" s="244"/>
      <c r="F24" s="244"/>
    </row>
    <row r="25" spans="1:6" s="243" customFormat="1">
      <c r="A25" s="243" t="str">
        <f>IF(AND(B25&lt;&gt;"",受講者登録表!S38=0),"講座なし","")</f>
        <v/>
      </c>
      <c r="B25" s="385" t="str">
        <f>IF(受講者登録表!$A38=1,IF(受講者登録表!C38&lt;&gt;"",受講者登録表!C38,"error"),"")</f>
        <v/>
      </c>
      <c r="C25" s="385" t="str">
        <f>IF(受講者登録表!$A38=1,IF(受講者登録表!D38&lt;&gt;"",受講者登録表!D38,"error"),"")</f>
        <v/>
      </c>
      <c r="E25" s="244"/>
      <c r="F25" s="244"/>
    </row>
    <row r="26" spans="1:6" s="243" customFormat="1">
      <c r="A26" s="243" t="str">
        <f>IF(AND(B26&lt;&gt;"",受講者登録表!S39=0),"講座なし","")</f>
        <v/>
      </c>
      <c r="B26" s="385" t="str">
        <f>IF(受講者登録表!$A39=1,IF(受講者登録表!C39&lt;&gt;"",受講者登録表!C39,"error"),"")</f>
        <v/>
      </c>
      <c r="C26" s="385" t="str">
        <f>IF(受講者登録表!$A39=1,IF(受講者登録表!D39&lt;&gt;"",受講者登録表!D39,"error"),"")</f>
        <v/>
      </c>
      <c r="E26" s="244"/>
      <c r="F26" s="244"/>
    </row>
    <row r="27" spans="1:6" s="243" customFormat="1">
      <c r="A27" s="243" t="str">
        <f>IF(AND(B27&lt;&gt;"",受講者登録表!S40=0),"講座なし","")</f>
        <v/>
      </c>
      <c r="B27" s="385" t="str">
        <f>IF(受講者登録表!$A40=1,IF(受講者登録表!C40&lt;&gt;"",受講者登録表!C40,"error"),"")</f>
        <v/>
      </c>
      <c r="C27" s="385" t="str">
        <f>IF(受講者登録表!$A40=1,IF(受講者登録表!D40&lt;&gt;"",受講者登録表!D40,"error"),"")</f>
        <v/>
      </c>
      <c r="E27" s="244"/>
      <c r="F27" s="244"/>
    </row>
    <row r="28" spans="1:6" s="243" customFormat="1">
      <c r="A28" s="243" t="str">
        <f>IF(AND(B28&lt;&gt;"",受講者登録表!S41=0),"講座なし","")</f>
        <v/>
      </c>
      <c r="B28" s="385" t="str">
        <f>IF(受講者登録表!$A41=1,IF(受講者登録表!C41&lt;&gt;"",受講者登録表!C41,"error"),"")</f>
        <v/>
      </c>
      <c r="C28" s="385" t="str">
        <f>IF(受講者登録表!$A41=1,IF(受講者登録表!D41&lt;&gt;"",受講者登録表!D41,"error"),"")</f>
        <v/>
      </c>
      <c r="E28" s="244"/>
      <c r="F28" s="244"/>
    </row>
    <row r="29" spans="1:6" s="243" customFormat="1">
      <c r="A29" s="243" t="str">
        <f>IF(AND(B29&lt;&gt;"",受講者登録表!S42=0),"講座なし","")</f>
        <v/>
      </c>
      <c r="B29" s="385" t="str">
        <f>IF(受講者登録表!$A42=1,IF(受講者登録表!C42&lt;&gt;"",受講者登録表!C42,"error"),"")</f>
        <v/>
      </c>
      <c r="C29" s="385" t="str">
        <f>IF(受講者登録表!$A42=1,IF(受講者登録表!D42&lt;&gt;"",受講者登録表!D42,"error"),"")</f>
        <v/>
      </c>
      <c r="E29" s="244"/>
      <c r="F29" s="244"/>
    </row>
    <row r="30" spans="1:6" s="243" customFormat="1">
      <c r="A30" s="243" t="str">
        <f>IF(AND(B30&lt;&gt;"",受講者登録表!S43=0),"講座なし","")</f>
        <v/>
      </c>
      <c r="B30" s="385" t="str">
        <f>IF(受講者登録表!$A43=1,IF(受講者登録表!C43&lt;&gt;"",受講者登録表!C43,"error"),"")</f>
        <v/>
      </c>
      <c r="C30" s="385" t="str">
        <f>IF(受講者登録表!$A43=1,IF(受講者登録表!D43&lt;&gt;"",受講者登録表!D43,"error"),"")</f>
        <v/>
      </c>
      <c r="E30" s="244"/>
      <c r="F30" s="244"/>
    </row>
    <row r="31" spans="1:6" s="243" customFormat="1">
      <c r="A31" s="243" t="str">
        <f>IF(AND(B31&lt;&gt;"",受講者登録表!S44=0),"講座なし","")</f>
        <v/>
      </c>
      <c r="B31" s="385" t="str">
        <f>IF(受講者登録表!$A44=1,IF(受講者登録表!C44&lt;&gt;"",受講者登録表!C44,"error"),"")</f>
        <v/>
      </c>
      <c r="C31" s="385" t="str">
        <f>IF(受講者登録表!$A44=1,IF(受講者登録表!D44&lt;&gt;"",受講者登録表!D44,"error"),"")</f>
        <v/>
      </c>
      <c r="E31" s="244"/>
      <c r="F31" s="244"/>
    </row>
  </sheetData>
  <phoneticPr fontId="6"/>
  <conditionalFormatting sqref="A2:A31">
    <cfRule type="cellIs" dxfId="3" priority="1" operator="equal">
      <formula>"講座なし"</formula>
    </cfRule>
  </conditionalFormatting>
  <conditionalFormatting sqref="A1:K31">
    <cfRule type="expression" dxfId="2" priority="4">
      <formula>$B1&lt;&gt;""</formula>
    </cfRule>
  </conditionalFormatting>
  <conditionalFormatting sqref="A2:K31">
    <cfRule type="cellIs" dxfId="1" priority="3" operator="notEqual">
      <formula>""</formula>
    </cfRule>
  </conditionalFormatting>
  <conditionalFormatting sqref="B2:C31">
    <cfRule type="cellIs" dxfId="0" priority="2" operator="equal">
      <formula>"error"</formula>
    </cfRule>
  </conditionalFormatting>
  <dataValidations count="2">
    <dataValidation imeMode="off" allowBlank="1" showInputMessage="1" showErrorMessage="1" sqref="A32:A1048576 A1 B1:XFD1048576" xr:uid="{00000000-0002-0000-0800-000000000000}"/>
    <dataValidation imeMode="off" allowBlank="1" showInputMessage="1" showErrorMessage="1" promptTitle="ID入力" prompt="手入力：ID入力" sqref="A2:A31" xr:uid="{00000000-0002-0000-0800-000001000000}"/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14FE40EEB0B9147B2504937E26D89D0" ma:contentTypeVersion="6" ma:contentTypeDescription="新しいドキュメントを作成します。" ma:contentTypeScope="" ma:versionID="7d81d56e970fb858bcc7bfba831d18ca">
  <xsd:schema xmlns:xsd="http://www.w3.org/2001/XMLSchema" xmlns:xs="http://www.w3.org/2001/XMLSchema" xmlns:p="http://schemas.microsoft.com/office/2006/metadata/properties" xmlns:ns2="810dedd4-d09c-4a9f-abc6-c4af50407bf1" targetNamespace="http://schemas.microsoft.com/office/2006/metadata/properties" ma:root="true" ma:fieldsID="e0662d964caac964871b052cf6db58ef" ns2:_="">
    <xsd:import namespace="810dedd4-d09c-4a9f-abc6-c4af50407bf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0dedd4-d09c-4a9f-abc6-c4af50407b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0CFEC37-05ED-45F2-9B8B-449C4D9D1F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0dedd4-d09c-4a9f-abc6-c4af50407b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5A8861-F03F-41EA-B0E1-B8A0E643C6A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B89300-B9DF-4B30-8223-6B6BCA4C0BC7}">
  <ds:schemaRefs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810dedd4-d09c-4a9f-abc6-c4af50407bf1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20</vt:i4>
      </vt:variant>
    </vt:vector>
  </HeadingPairs>
  <TitlesOfParts>
    <vt:vector size="29" baseType="lpstr">
      <vt:lpstr>開講日マスタ</vt:lpstr>
      <vt:lpstr>記入の仕方</vt:lpstr>
      <vt:lpstr>申込書</vt:lpstr>
      <vt:lpstr>受講者登録表</vt:lpstr>
      <vt:lpstr>講座一覧</vt:lpstr>
      <vt:lpstr>営企csv</vt:lpstr>
      <vt:lpstr>D-CSV</vt:lpstr>
      <vt:lpstr>一括ユーザーアサイン登録</vt:lpstr>
      <vt:lpstr>ユーザー登録</vt:lpstr>
      <vt:lpstr>fee</vt:lpstr>
      <vt:lpstr>ID名簿</vt:lpstr>
      <vt:lpstr>営企csv!Print_Area</vt:lpstr>
      <vt:lpstr>講座一覧!Print_Area</vt:lpstr>
      <vt:lpstr>受講者登録表!Print_Area</vt:lpstr>
      <vt:lpstr>申込書!Print_Area</vt:lpstr>
      <vt:lpstr>user</vt:lpstr>
      <vt:lpstr>カテゴリ</vt:lpstr>
      <vt:lpstr>きっかけ</vt:lpstr>
      <vt:lpstr>コンプライアンス</vt:lpstr>
      <vt:lpstr>スタンダード</vt:lpstr>
      <vt:lpstr>メンタルヘルス</vt:lpstr>
      <vt:lpstr>公的資格</vt:lpstr>
      <vt:lpstr>受講者</vt:lpstr>
      <vt:lpstr>住建系スキル</vt:lpstr>
      <vt:lpstr>情報セキュリティ</vt:lpstr>
      <vt:lpstr>申込</vt:lpstr>
      <vt:lpstr>戦略・マネジメント</vt:lpstr>
      <vt:lpstr>知的財産</vt:lpstr>
      <vt:lpstr>電材系スキル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eラーニング申込用紙</dc:title>
  <dc:subject/>
  <cp:keywords/>
  <cp:lastModifiedBy>Matsuo Miho (松尾 美穂)</cp:lastModifiedBy>
  <cp:revision/>
  <cp:lastPrinted>2021-06-23T02:54:56Z</cp:lastPrinted>
  <dcterms:created xsi:type="dcterms:W3CDTF">2020-09-10T05:06:50Z</dcterms:created>
  <dcterms:modified xsi:type="dcterms:W3CDTF">2025-01-29T01:42:52Z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0x010100D14FE40EEB0B9147B2504937E26D89D0</vt:lpwstr>
  </property>
</Properties>
</file>